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15"/>
  <workbookPr/>
  <mc:AlternateContent xmlns:mc="http://schemas.openxmlformats.org/markup-compatibility/2006">
    <mc:Choice Requires="x15">
      <x15ac:absPath xmlns:x15ac="http://schemas.microsoft.com/office/spreadsheetml/2010/11/ac" url="/Users/libahladik/Downloads/ELEMENTA-S-15-00075_Peters/"/>
    </mc:Choice>
  </mc:AlternateContent>
  <bookViews>
    <workbookView xWindow="480" yWindow="460" windowWidth="25520" windowHeight="13060" activeTab="2"/>
  </bookViews>
  <sheets>
    <sheet name="README" sheetId="11" r:id="rId1"/>
    <sheet name="Users diet" sheetId="1" r:id="rId2"/>
    <sheet name="Dietary recommendations" sheetId="12" r:id="rId3"/>
    <sheet name="Food preferences" sheetId="14" r:id="rId4"/>
    <sheet name="Nutrient composition" sheetId="8" r:id="rId5"/>
    <sheet name="Losses and waste" sheetId="5" r:id="rId6"/>
    <sheet name="Processing conversions" sheetId="6" r:id="rId7"/>
    <sheet name="Dairy processing conversions" sheetId="28" r:id="rId8"/>
    <sheet name="Fats and oils" sheetId="27" r:id="rId9"/>
    <sheet name="Livestock feed requirements" sheetId="25" r:id="rId10"/>
    <sheet name="Food requirements" sheetId="23" r:id="rId11"/>
    <sheet name="Crop and grazing yields" sheetId="24" r:id="rId12"/>
    <sheet name="Land requirements" sheetId="21" r:id="rId13"/>
    <sheet name="Multiuse crop adjustment" sheetId="30" r:id="rId14"/>
    <sheet name="Grazing land adjustment" sheetId="31" r:id="rId15"/>
    <sheet name="Land availability" sheetId="29" r:id="rId16"/>
  </sheets>
  <definedNames>
    <definedName name="Alfalfa_hay">'Crop and grazing yields'!$V$153</definedName>
    <definedName name="Almonds">'Crop and grazing yields'!$V$96</definedName>
    <definedName name="Animalfat_allowance">'Users diet'!$E$48</definedName>
    <definedName name="Apples">'Crop and grazing yields'!$V$67</definedName>
    <definedName name="Apricots">'Crop and grazing yields'!$V$68</definedName>
    <definedName name="Artichoke">'Crop and grazing yields'!$V$15</definedName>
    <definedName name="Asparagus_All">'Crop and grazing yields'!$V$16</definedName>
    <definedName name="Avocado">'Crop and grazing yields'!$V$69</definedName>
    <definedName name="Banana">'Crop and grazing yields'!$V$70</definedName>
    <definedName name="Barley">'Crop and grazing yields'!$V$130</definedName>
    <definedName name="Beans_Lima_Fresh">'Crop and grazing yields'!$V$17</definedName>
    <definedName name="Beans_Lima_Frozen">'Crop and grazing yields'!$V$18</definedName>
    <definedName name="Beans_Snap_Canned">'Crop and grazing yields'!$V$20</definedName>
    <definedName name="Beans_Snap_Fresh">'Crop and grazing yields'!$V$19</definedName>
    <definedName name="Beans_Snap_Frozen">'Crop and grazing yields'!$V$21</definedName>
    <definedName name="beef_intake">'Users diet'!$E$40</definedName>
    <definedName name="Bell_Peppers">'Crop and grazing yields'!$V$52</definedName>
    <definedName name="Blackberries">'Crop and grazing yields'!$V$71</definedName>
    <definedName name="Blueberries">'Crop and grazing yields'!$V$73</definedName>
    <definedName name="Broccoli_All">'Crop and grazing yields'!$V$22</definedName>
    <definedName name="Brussels_Sprouts">'Crop and grazing yields'!$V$23</definedName>
    <definedName name="Cabbage_Fresh">'Crop and grazing yields'!$V$24</definedName>
    <definedName name="Cabbage_Processed">'Crop and grazing yields'!$V$25</definedName>
    <definedName name="Canola">'Crop and grazing yields'!$V$149</definedName>
    <definedName name="Carrots_Fresh">'Crop and grazing yields'!$V$26</definedName>
    <definedName name="Carrots_Processed">'Crop and grazing yields'!$V$27</definedName>
    <definedName name="Cauliflower_All">'Crop and grazing yields'!$V$28</definedName>
    <definedName name="Celery">'Crop and grazing yields'!$V$29</definedName>
    <definedName name="Cheese_otherdairy_intake">'Users diet'!$E$34</definedName>
    <definedName name="Cherries_Sweet">'Crop and grazing yields'!$V$78</definedName>
    <definedName name="Cherries_Tart">'Crop and grazing yields'!$V$79</definedName>
    <definedName name="chicken_intake">'Users diet'!$E$42</definedName>
    <definedName name="Chile_Peppers">'Crop and grazing yields'!$V$30</definedName>
    <definedName name="Collard_Greens">'Crop and grazing yields'!$V$31</definedName>
    <definedName name="Conversion_primarytofarm_milkfatbasis">'Dairy processing conversions'!$L$43</definedName>
    <definedName name="Corn">'Crop and grazing yields'!$V$150</definedName>
    <definedName name="Corn_Canned">'Crop and grazing yields'!$V$33</definedName>
    <definedName name="Corn_Frozen">'Crop and grazing yields'!$V$34</definedName>
    <definedName name="Corn_Silage">'Crop and grazing yields'!$V$151</definedName>
    <definedName name="Corn_Sweet">'Crop and grazing yields'!$V$32</definedName>
    <definedName name="Cottonseed">'Crop and grazing yields'!$V$170</definedName>
    <definedName name="Cranberries">'Crop and grazing yields'!$V$80</definedName>
    <definedName name="cropland_pasture_yield">'Crop and grazing yields'!$V$173</definedName>
    <definedName name="Cucumbers_Fresh">'Crop and grazing yields'!$V$35</definedName>
    <definedName name="Cucumbers_Processed">'Crop and grazing yields'!$V$36</definedName>
    <definedName name="Dairyfat_intake">'Users diet'!$E$47</definedName>
    <definedName name="Dark_green_veg_intake">'Users diet'!$E$25</definedName>
    <definedName name="Dates">'Crop and grazing yields'!$V$81</definedName>
    <definedName name="Dry_beans">'Crop and grazing yields'!$V$131</definedName>
    <definedName name="dry_legumes_forprotein_intake">'Users diet'!$E$37</definedName>
    <definedName name="Dry_legumes_forvegetables_intake">'Users diet'!$E$27</definedName>
    <definedName name="Dry_peas">'Crop and grazing yields'!$V$157</definedName>
    <definedName name="Durum_Wheat">'Crop and grazing yields'!$V$166</definedName>
    <definedName name="Eggplant">'Crop and grazing yields'!$V$37</definedName>
    <definedName name="eggs_intake">'Users diet'!$E$44</definedName>
    <definedName name="Escrole">'Crop and grazing yields'!$V$38</definedName>
    <definedName name="Fat_content">'Dairy processing conversions'!$L$47</definedName>
    <definedName name="Figs">'Crop and grazing yields'!$V$82</definedName>
    <definedName name="fish_intake">'Users diet'!$E$45</definedName>
    <definedName name="Fluidmilk_yogurt_intake">'Users diet'!$E$33</definedName>
    <definedName name="Fruit_intake">'Users diet'!$E$30</definedName>
    <definedName name="Garlic">'Crop and grazing yields'!$V$39</definedName>
    <definedName name="Grain_intake">'Users diet'!$E$23</definedName>
    <definedName name="Grapefruit">'Crop and grazing yields'!$V$113</definedName>
    <definedName name="Grapes">'Crop and grazing yields'!$V$83</definedName>
    <definedName name="grazing_land_yield">'Crop and grazing yields'!$V$174</definedName>
    <definedName name="Green_Peas_Canned">'Crop and grazing yields'!$V$50</definedName>
    <definedName name="Green_Peas_Frozen">'Crop and grazing yields'!$V$51</definedName>
    <definedName name="Hay_haylage_exlc_alfalfa">'Crop and grazing yields'!$V$152</definedName>
    <definedName name="Hazelnuts">'Crop and grazing yields'!$V$97</definedName>
    <definedName name="Kale">'Crop and grazing yields'!$V$40</definedName>
    <definedName name="Kiwifruit">'Crop and grazing yields'!$V$84</definedName>
    <definedName name="Lemons">'Crop and grazing yields'!$V$119</definedName>
    <definedName name="Lentils">'Crop and grazing yields'!$V$154</definedName>
    <definedName name="Lettuce_Head">'Crop and grazing yields'!$V$41</definedName>
    <definedName name="Lettuce_Leaf">'Crop and grazing yields'!$V$42</definedName>
    <definedName name="Lettuce_Romaine">'Crop and grazing yields'!$V$43</definedName>
    <definedName name="Limes">'Crop and grazing yields'!$V$125</definedName>
    <definedName name="Macadamias">'Crop and grazing yields'!$V$98</definedName>
    <definedName name="Maple_Syrup">'Crop and grazing yields'!#REF!</definedName>
    <definedName name="Melons_Cantaloup">'Crop and grazing yields'!$V$44</definedName>
    <definedName name="Melons_Honeydew">'Crop and grazing yields'!$V$45</definedName>
    <definedName name="Melons_Watermelon">'Crop and grazing yields'!$V$46</definedName>
    <definedName name="Mushrooms">'Crop and grazing yields'!#REF!</definedName>
    <definedName name="Mustard_Greens">'Crop and grazing yields'!$V$47</definedName>
    <definedName name="Nectarines">'Crop and grazing yields'!$V$85</definedName>
    <definedName name="nuts_intake">'Users diet'!$E$38</definedName>
    <definedName name="Oats">'Crop and grazing yields'!$V$155</definedName>
    <definedName name="Okra">'Crop and grazing yields'!$V$48</definedName>
    <definedName name="Olives">'Crop and grazing yields'!$V$86</definedName>
    <definedName name="Onions_All">'Crop and grazing yields'!$V$49</definedName>
    <definedName name="Orange_All">'Crop and grazing yields'!$V$110</definedName>
    <definedName name="Orange_veg_intake">'Users diet'!$E$26</definedName>
    <definedName name="Other_veg_intake">'Users diet'!$E$29</definedName>
    <definedName name="Papayas">'Crop and grazing yields'!$V$87</definedName>
    <definedName name="Peaches">'Crop and grazing yields'!$V$88</definedName>
    <definedName name="Peanuts">'Crop and grazing yields'!$V$156</definedName>
    <definedName name="Pears">'Crop and grazing yields'!$V$89</definedName>
    <definedName name="Percent__dairy__beef">'Livestock feed requirements'!$B$38</definedName>
    <definedName name="Percent__Dedicated__beef">'Livestock feed requirements'!$B$39</definedName>
    <definedName name="Pistachios">'Crop and grazing yields'!$V$100</definedName>
    <definedName name="Plantoil_intake">'Users diet'!$E$46</definedName>
    <definedName name="Plums">'Crop and grazing yields'!$V$90</definedName>
    <definedName name="pork_intake">'Users diet'!$E$41</definedName>
    <definedName name="Potatoes_All">'Crop and grazing yields'!$V$158</definedName>
    <definedName name="Prunes">'Crop and grazing yields'!$V$91</definedName>
    <definedName name="Prunes_and_plums">'Crop and grazing yields'!$V$92</definedName>
    <definedName name="Pumpkin">'Crop and grazing yields'!$V$53</definedName>
    <definedName name="Radish">'Crop and grazing yields'!$V$54</definedName>
    <definedName name="Raisins">'Crop and grazing yields'!$V$64</definedName>
    <definedName name="Raspberries">'Crop and grazing yields'!$V$76</definedName>
    <definedName name="Rice">'Crop and grazing yields'!$V$159</definedName>
    <definedName name="Rye">'Crop and grazing yields'!$V$160</definedName>
    <definedName name="Skimsolid_content">'Dairy processing conversions'!$L$48</definedName>
    <definedName name="Soybeans">'Crop and grazing yields'!$V$161</definedName>
    <definedName name="Soymilk_intake">'Users diet'!$E$35</definedName>
    <definedName name="Spinach_Fresh">'Crop and grazing yields'!$V$55</definedName>
    <definedName name="Spinach_Frozen">'Crop and grazing yields'!$V$56</definedName>
    <definedName name="Squash_All">'Crop and grazing yields'!$V$57</definedName>
    <definedName name="Starchy_veg_intake">'Users diet'!$E$28</definedName>
    <definedName name="Strawberries">'Crop and grazing yields'!$V$93</definedName>
    <definedName name="Sugar_beet">'Crop and grazing yields'!$V$162</definedName>
    <definedName name="Sugar_cane">'Crop and grazing yields'!$V$163</definedName>
    <definedName name="Sweet_Potatoes">'Crop and grazing yields'!$V$63</definedName>
    <definedName name="sweeteners_intake">'Users diet'!$E$49</definedName>
    <definedName name="Tangerines">'Crop and grazing yields'!$V$116</definedName>
    <definedName name="Tomatoes_Fresh">'Crop and grazing yields'!$V$58</definedName>
    <definedName name="Tomatoes_Processed">'Crop and grazing yields'!$V$59</definedName>
    <definedName name="Turkey_intake">'Users diet'!$E$43</definedName>
    <definedName name="Turnip_Greens">'Crop and grazing yields'!$V$60</definedName>
    <definedName name="Vegan_tofu_protein">'Users diet'!$E$39</definedName>
    <definedName name="Walnuts">'Crop and grazing yields'!$V$101</definedName>
    <definedName name="Wheat">'Crop and grazing yields'!$V$164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13" i="27" l="1"/>
  <c r="K13" i="27"/>
  <c r="I125" i="24"/>
  <c r="H125" i="24"/>
  <c r="G125" i="24"/>
  <c r="Q122" i="24"/>
  <c r="P122" i="24"/>
  <c r="O122" i="24"/>
  <c r="I122" i="24"/>
  <c r="H122" i="24"/>
  <c r="G122" i="24"/>
  <c r="Q119" i="24"/>
  <c r="P119" i="24"/>
  <c r="O119" i="24"/>
  <c r="N119" i="24"/>
  <c r="M119" i="24"/>
  <c r="L119" i="24"/>
  <c r="K119" i="24"/>
  <c r="J119" i="24"/>
  <c r="I119" i="24"/>
  <c r="H119" i="24"/>
  <c r="G119" i="24"/>
  <c r="Q116" i="24"/>
  <c r="P116" i="24"/>
  <c r="O116" i="24"/>
  <c r="N116" i="24"/>
  <c r="M116" i="24"/>
  <c r="L116" i="24"/>
  <c r="K116" i="24"/>
  <c r="J116" i="24"/>
  <c r="I116" i="24"/>
  <c r="H116" i="24"/>
  <c r="G116" i="24"/>
  <c r="Q113" i="24"/>
  <c r="P113" i="24"/>
  <c r="O113" i="24"/>
  <c r="N113" i="24"/>
  <c r="M113" i="24"/>
  <c r="L113" i="24"/>
  <c r="K113" i="24"/>
  <c r="J113" i="24"/>
  <c r="I113" i="24"/>
  <c r="H113" i="24"/>
  <c r="G113" i="24"/>
  <c r="Q110" i="24"/>
  <c r="P110" i="24"/>
  <c r="O110" i="24"/>
  <c r="N110" i="24"/>
  <c r="M110" i="24"/>
  <c r="L110" i="24"/>
  <c r="K110" i="24"/>
  <c r="J110" i="24"/>
  <c r="I110" i="24"/>
  <c r="H110" i="24"/>
  <c r="G110" i="24"/>
  <c r="Q107" i="24"/>
  <c r="P107" i="24"/>
  <c r="O107" i="24"/>
  <c r="N107" i="24"/>
  <c r="M107" i="24"/>
  <c r="L107" i="24"/>
  <c r="K107" i="24"/>
  <c r="J107" i="24"/>
  <c r="I107" i="24"/>
  <c r="H107" i="24"/>
  <c r="G107" i="24"/>
  <c r="Q104" i="24"/>
  <c r="P104" i="24"/>
  <c r="O104" i="24"/>
  <c r="N104" i="24"/>
  <c r="M104" i="24"/>
  <c r="L104" i="24"/>
  <c r="K104" i="24"/>
  <c r="J104" i="24"/>
  <c r="I104" i="24"/>
  <c r="H104" i="24"/>
  <c r="G104" i="24"/>
  <c r="H47" i="1"/>
  <c r="F208" i="14"/>
  <c r="F202" i="14"/>
  <c r="F196" i="14"/>
  <c r="F195" i="14"/>
  <c r="F194" i="14"/>
  <c r="F190" i="14"/>
  <c r="F219" i="14"/>
  <c r="F218" i="14"/>
  <c r="F217" i="14"/>
  <c r="F216" i="14"/>
  <c r="F215" i="14"/>
  <c r="F214" i="14"/>
  <c r="F189"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3" i="14"/>
  <c r="F134" i="14"/>
  <c r="I133" i="14"/>
  <c r="I146" i="14"/>
  <c r="I154" i="14"/>
  <c r="I189" i="14"/>
  <c r="I138" i="14"/>
  <c r="I134" i="14"/>
  <c r="I214" i="14"/>
  <c r="I156" i="14"/>
  <c r="I136" i="14"/>
  <c r="I158" i="14"/>
  <c r="I157" i="14"/>
  <c r="I142" i="14"/>
  <c r="I218" i="14"/>
  <c r="I215" i="14"/>
  <c r="I149" i="14"/>
  <c r="I150" i="14"/>
  <c r="I219" i="14"/>
  <c r="I143" i="14"/>
  <c r="I160" i="14"/>
  <c r="I135" i="14"/>
  <c r="I153" i="14"/>
  <c r="I137" i="14"/>
  <c r="I140" i="14"/>
  <c r="I148" i="14"/>
  <c r="I139" i="14"/>
  <c r="I141" i="14"/>
  <c r="I151" i="14"/>
  <c r="I144" i="14"/>
  <c r="I216" i="14"/>
  <c r="I161" i="14"/>
  <c r="I217" i="14"/>
  <c r="I159" i="14"/>
  <c r="I145" i="14"/>
  <c r="I147" i="14"/>
  <c r="I155" i="14"/>
  <c r="I152" i="14"/>
  <c r="X10" i="12"/>
  <c r="X11" i="12"/>
  <c r="X12" i="12"/>
  <c r="X13" i="12"/>
  <c r="X14" i="12"/>
  <c r="X15" i="12"/>
  <c r="X16" i="12"/>
  <c r="X17" i="12"/>
  <c r="X18" i="12"/>
  <c r="X19" i="12"/>
  <c r="X20" i="12"/>
  <c r="X21" i="12"/>
  <c r="X22" i="12"/>
  <c r="X23" i="12"/>
  <c r="X24" i="12"/>
  <c r="X28" i="12"/>
  <c r="X29" i="12"/>
  <c r="X30" i="12"/>
  <c r="X31" i="12"/>
  <c r="X32" i="12"/>
  <c r="X33" i="12"/>
  <c r="X34" i="12"/>
  <c r="X35" i="12"/>
  <c r="X36" i="12"/>
  <c r="X37" i="12"/>
  <c r="X38" i="12"/>
  <c r="X39" i="12"/>
  <c r="X40" i="12"/>
  <c r="X41" i="12"/>
  <c r="X42" i="12"/>
  <c r="X44" i="12"/>
  <c r="D25" i="1"/>
  <c r="AB10" i="12"/>
  <c r="AB11" i="12"/>
  <c r="AB12" i="12"/>
  <c r="AB13" i="12"/>
  <c r="AB14" i="12"/>
  <c r="AB15" i="12"/>
  <c r="AB16" i="12"/>
  <c r="AB17" i="12"/>
  <c r="AB18" i="12"/>
  <c r="AB19" i="12"/>
  <c r="AB20" i="12"/>
  <c r="AB21" i="12"/>
  <c r="AB22" i="12"/>
  <c r="AB23" i="12"/>
  <c r="AB24" i="12"/>
  <c r="AB28" i="12"/>
  <c r="AB29" i="12"/>
  <c r="AB30" i="12"/>
  <c r="AB31" i="12"/>
  <c r="AB32" i="12"/>
  <c r="AB33" i="12"/>
  <c r="AB34" i="12"/>
  <c r="AB35" i="12"/>
  <c r="AB36" i="12"/>
  <c r="AB37" i="12"/>
  <c r="AB38" i="12"/>
  <c r="AB39" i="12"/>
  <c r="AB40" i="12"/>
  <c r="AB41" i="12"/>
  <c r="AB42" i="12"/>
  <c r="AB44" i="12"/>
  <c r="D29" i="1"/>
  <c r="AA10" i="12"/>
  <c r="AA11" i="12"/>
  <c r="AA12" i="12"/>
  <c r="AA13" i="12"/>
  <c r="AA14" i="12"/>
  <c r="AA15" i="12"/>
  <c r="AA16" i="12"/>
  <c r="AA17" i="12"/>
  <c r="AA18" i="12"/>
  <c r="AA19" i="12"/>
  <c r="AA20" i="12"/>
  <c r="AA21" i="12"/>
  <c r="AA22" i="12"/>
  <c r="AA23" i="12"/>
  <c r="AA24" i="12"/>
  <c r="AA28" i="12"/>
  <c r="AA29" i="12"/>
  <c r="AA30" i="12"/>
  <c r="AA31" i="12"/>
  <c r="AA32" i="12"/>
  <c r="AA33" i="12"/>
  <c r="AA34" i="12"/>
  <c r="AA35" i="12"/>
  <c r="AA36" i="12"/>
  <c r="AA37" i="12"/>
  <c r="AA38" i="12"/>
  <c r="AA39" i="12"/>
  <c r="AA40" i="12"/>
  <c r="AA41" i="12"/>
  <c r="AA42" i="12"/>
  <c r="AA44" i="12"/>
  <c r="D28" i="1"/>
  <c r="Z10" i="12"/>
  <c r="Z11" i="12"/>
  <c r="Z12" i="12"/>
  <c r="Z13" i="12"/>
  <c r="Z14" i="12"/>
  <c r="Z15" i="12"/>
  <c r="Z16" i="12"/>
  <c r="Z17" i="12"/>
  <c r="Z18" i="12"/>
  <c r="Z19" i="12"/>
  <c r="Z20" i="12"/>
  <c r="Z21" i="12"/>
  <c r="Z22" i="12"/>
  <c r="Z23" i="12"/>
  <c r="Z24" i="12"/>
  <c r="Z28" i="12"/>
  <c r="Z29" i="12"/>
  <c r="Z30" i="12"/>
  <c r="Z31" i="12"/>
  <c r="Z32" i="12"/>
  <c r="Z33" i="12"/>
  <c r="Z34" i="12"/>
  <c r="Z35" i="12"/>
  <c r="Z36" i="12"/>
  <c r="Z37" i="12"/>
  <c r="Z38" i="12"/>
  <c r="Z39" i="12"/>
  <c r="Z40" i="12"/>
  <c r="Z41" i="12"/>
  <c r="Z42" i="12"/>
  <c r="Z44" i="12"/>
  <c r="D27" i="1"/>
  <c r="Y10" i="12"/>
  <c r="Y11" i="12"/>
  <c r="Y12" i="12"/>
  <c r="Y13" i="12"/>
  <c r="Y14" i="12"/>
  <c r="Y15" i="12"/>
  <c r="Y16" i="12"/>
  <c r="Y17" i="12"/>
  <c r="Y18" i="12"/>
  <c r="Y19" i="12"/>
  <c r="Y20" i="12"/>
  <c r="Y21" i="12"/>
  <c r="Y22" i="12"/>
  <c r="Y23" i="12"/>
  <c r="Y24" i="12"/>
  <c r="Y28" i="12"/>
  <c r="Y29" i="12"/>
  <c r="Y30" i="12"/>
  <c r="Y31" i="12"/>
  <c r="Y32" i="12"/>
  <c r="Y33" i="12"/>
  <c r="Y34" i="12"/>
  <c r="Y35" i="12"/>
  <c r="Y36" i="12"/>
  <c r="Y37" i="12"/>
  <c r="Y38" i="12"/>
  <c r="Y39" i="12"/>
  <c r="Y40" i="12"/>
  <c r="Y41" i="12"/>
  <c r="Y42" i="12"/>
  <c r="Y44" i="12"/>
  <c r="D26" i="1"/>
  <c r="AF10" i="12"/>
  <c r="AF11" i="12"/>
  <c r="AF12" i="12"/>
  <c r="AF13" i="12"/>
  <c r="AF14" i="12"/>
  <c r="AF15" i="12"/>
  <c r="AF16" i="12"/>
  <c r="AF17" i="12"/>
  <c r="AF18" i="12"/>
  <c r="AF19" i="12"/>
  <c r="AF20" i="12"/>
  <c r="AF21" i="12"/>
  <c r="AF22" i="12"/>
  <c r="AF23" i="12"/>
  <c r="AF24" i="12"/>
  <c r="AF28" i="12"/>
  <c r="AF29" i="12"/>
  <c r="AF30" i="12"/>
  <c r="AF31" i="12"/>
  <c r="AF32" i="12"/>
  <c r="AF33" i="12"/>
  <c r="AF34" i="12"/>
  <c r="AF35" i="12"/>
  <c r="AF36" i="12"/>
  <c r="AF37" i="12"/>
  <c r="AF38" i="12"/>
  <c r="AF39" i="12"/>
  <c r="AF40" i="12"/>
  <c r="AF41" i="12"/>
  <c r="AF42" i="12"/>
  <c r="AF44" i="12"/>
  <c r="D46" i="1"/>
  <c r="AG10" i="12"/>
  <c r="AG11" i="12"/>
  <c r="AG12" i="12"/>
  <c r="AG13" i="12"/>
  <c r="AG14" i="12"/>
  <c r="AG15" i="12"/>
  <c r="AG16" i="12"/>
  <c r="AG17" i="12"/>
  <c r="AG18" i="12"/>
  <c r="AG19" i="12"/>
  <c r="AG20" i="12"/>
  <c r="AG21" i="12"/>
  <c r="AG22" i="12"/>
  <c r="AG23" i="12"/>
  <c r="AG24" i="12"/>
  <c r="AG28" i="12"/>
  <c r="AG29" i="12"/>
  <c r="AG30" i="12"/>
  <c r="AG31" i="12"/>
  <c r="AG32" i="12"/>
  <c r="AG33" i="12"/>
  <c r="AG34" i="12"/>
  <c r="AG35" i="12"/>
  <c r="AG36" i="12"/>
  <c r="AG37" i="12"/>
  <c r="AG38" i="12"/>
  <c r="AG39" i="12"/>
  <c r="AG40" i="12"/>
  <c r="AG41" i="12"/>
  <c r="AG42" i="12"/>
  <c r="AG44" i="12"/>
  <c r="AE10" i="12"/>
  <c r="AE11" i="12"/>
  <c r="AE12" i="12"/>
  <c r="AE13" i="12"/>
  <c r="AE14" i="12"/>
  <c r="AE15" i="12"/>
  <c r="AE16" i="12"/>
  <c r="AE17" i="12"/>
  <c r="AE18" i="12"/>
  <c r="AE19" i="12"/>
  <c r="AE20" i="12"/>
  <c r="AE21" i="12"/>
  <c r="AE22" i="12"/>
  <c r="AE23" i="12"/>
  <c r="AE24" i="12"/>
  <c r="AE28" i="12"/>
  <c r="AE29" i="12"/>
  <c r="AE30" i="12"/>
  <c r="AE31" i="12"/>
  <c r="AE32" i="12"/>
  <c r="AE33" i="12"/>
  <c r="AE34" i="12"/>
  <c r="AE35" i="12"/>
  <c r="AE36" i="12"/>
  <c r="AE37" i="12"/>
  <c r="AE38" i="12"/>
  <c r="AE39" i="12"/>
  <c r="AE40" i="12"/>
  <c r="AE41" i="12"/>
  <c r="AE42" i="12"/>
  <c r="AE44" i="12"/>
  <c r="AD10" i="12"/>
  <c r="AD11" i="12"/>
  <c r="AD12" i="12"/>
  <c r="AD13" i="12"/>
  <c r="AD14" i="12"/>
  <c r="AD15" i="12"/>
  <c r="AD16" i="12"/>
  <c r="AD17" i="12"/>
  <c r="AD18" i="12"/>
  <c r="AD19" i="12"/>
  <c r="AD20" i="12"/>
  <c r="AD21" i="12"/>
  <c r="AD22" i="12"/>
  <c r="AD23" i="12"/>
  <c r="AD24" i="12"/>
  <c r="AD28" i="12"/>
  <c r="AD29" i="12"/>
  <c r="AD30" i="12"/>
  <c r="AD31" i="12"/>
  <c r="AD32" i="12"/>
  <c r="AD33" i="12"/>
  <c r="AD34" i="12"/>
  <c r="AD35" i="12"/>
  <c r="AD36" i="12"/>
  <c r="AD37" i="12"/>
  <c r="AD38" i="12"/>
  <c r="AD39" i="12"/>
  <c r="AD40" i="12"/>
  <c r="AD41" i="12"/>
  <c r="AD42" i="12"/>
  <c r="AD44" i="12"/>
  <c r="AC10" i="12"/>
  <c r="AC11" i="12"/>
  <c r="AC12" i="12"/>
  <c r="AC13" i="12"/>
  <c r="AC14" i="12"/>
  <c r="AC15" i="12"/>
  <c r="AC16" i="12"/>
  <c r="AC17" i="12"/>
  <c r="AC18" i="12"/>
  <c r="AC19" i="12"/>
  <c r="AC20" i="12"/>
  <c r="AC21" i="12"/>
  <c r="AC22" i="12"/>
  <c r="AC23" i="12"/>
  <c r="AC24" i="12"/>
  <c r="AC28" i="12"/>
  <c r="AC29" i="12"/>
  <c r="AC30" i="12"/>
  <c r="AC31" i="12"/>
  <c r="AC32" i="12"/>
  <c r="AC33" i="12"/>
  <c r="AC34" i="12"/>
  <c r="AC35" i="12"/>
  <c r="AC36" i="12"/>
  <c r="AC37" i="12"/>
  <c r="AC38" i="12"/>
  <c r="AC39" i="12"/>
  <c r="AC40" i="12"/>
  <c r="AC41" i="12"/>
  <c r="AC42" i="12"/>
  <c r="AC44" i="12"/>
  <c r="W10" i="12"/>
  <c r="W11" i="12"/>
  <c r="W12" i="12"/>
  <c r="W13" i="12"/>
  <c r="W14" i="12"/>
  <c r="W15" i="12"/>
  <c r="W16" i="12"/>
  <c r="W17" i="12"/>
  <c r="W18" i="12"/>
  <c r="W19" i="12"/>
  <c r="W20" i="12"/>
  <c r="W21" i="12"/>
  <c r="W22" i="12"/>
  <c r="W23" i="12"/>
  <c r="W24" i="12"/>
  <c r="W28" i="12"/>
  <c r="W29" i="12"/>
  <c r="W30" i="12"/>
  <c r="W31" i="12"/>
  <c r="W32" i="12"/>
  <c r="W33" i="12"/>
  <c r="W34" i="12"/>
  <c r="W35" i="12"/>
  <c r="W36" i="12"/>
  <c r="W37" i="12"/>
  <c r="W38" i="12"/>
  <c r="W39" i="12"/>
  <c r="W40" i="12"/>
  <c r="W41" i="12"/>
  <c r="W42" i="12"/>
  <c r="W44" i="12"/>
  <c r="V10" i="12"/>
  <c r="V11" i="12"/>
  <c r="V12" i="12"/>
  <c r="V13" i="12"/>
  <c r="V14" i="12"/>
  <c r="V15" i="12"/>
  <c r="V16" i="12"/>
  <c r="V17" i="12"/>
  <c r="V18" i="12"/>
  <c r="V19" i="12"/>
  <c r="V20" i="12"/>
  <c r="V21" i="12"/>
  <c r="V22" i="12"/>
  <c r="V23" i="12"/>
  <c r="V24" i="12"/>
  <c r="V28" i="12"/>
  <c r="V29" i="12"/>
  <c r="V30" i="12"/>
  <c r="V31" i="12"/>
  <c r="V32" i="12"/>
  <c r="V33" i="12"/>
  <c r="V34" i="12"/>
  <c r="V35" i="12"/>
  <c r="V36" i="12"/>
  <c r="V37" i="12"/>
  <c r="V38" i="12"/>
  <c r="V39" i="12"/>
  <c r="V40" i="12"/>
  <c r="V41" i="12"/>
  <c r="V42" i="12"/>
  <c r="V44" i="12"/>
  <c r="U10" i="12"/>
  <c r="U11" i="12"/>
  <c r="U12" i="12"/>
  <c r="U13" i="12"/>
  <c r="U14" i="12"/>
  <c r="U15" i="12"/>
  <c r="U16" i="12"/>
  <c r="U17" i="12"/>
  <c r="U18" i="12"/>
  <c r="U19" i="12"/>
  <c r="U20" i="12"/>
  <c r="U21" i="12"/>
  <c r="U22" i="12"/>
  <c r="U23" i="12"/>
  <c r="U24" i="12"/>
  <c r="U28" i="12"/>
  <c r="U29" i="12"/>
  <c r="U30" i="12"/>
  <c r="U31" i="12"/>
  <c r="U32" i="12"/>
  <c r="U33" i="12"/>
  <c r="U34" i="12"/>
  <c r="U35" i="12"/>
  <c r="U36" i="12"/>
  <c r="U37" i="12"/>
  <c r="U38" i="12"/>
  <c r="U39" i="12"/>
  <c r="U40" i="12"/>
  <c r="U41" i="12"/>
  <c r="U42" i="12"/>
  <c r="U44" i="12"/>
  <c r="T10" i="12"/>
  <c r="T11" i="12"/>
  <c r="T12" i="12"/>
  <c r="T13" i="12"/>
  <c r="T14" i="12"/>
  <c r="T15" i="12"/>
  <c r="T16" i="12"/>
  <c r="T17" i="12"/>
  <c r="T18" i="12"/>
  <c r="T19" i="12"/>
  <c r="T20" i="12"/>
  <c r="T21" i="12"/>
  <c r="T22" i="12"/>
  <c r="T23" i="12"/>
  <c r="T24" i="12"/>
  <c r="T28" i="12"/>
  <c r="T29" i="12"/>
  <c r="T30" i="12"/>
  <c r="T31" i="12"/>
  <c r="T32" i="12"/>
  <c r="T33" i="12"/>
  <c r="T34" i="12"/>
  <c r="T35" i="12"/>
  <c r="T36" i="12"/>
  <c r="T37" i="12"/>
  <c r="T38" i="12"/>
  <c r="T39" i="12"/>
  <c r="T40" i="12"/>
  <c r="T41" i="12"/>
  <c r="T42" i="12"/>
  <c r="T44" i="12"/>
  <c r="S10" i="12"/>
  <c r="S11" i="12"/>
  <c r="S12" i="12"/>
  <c r="S13" i="12"/>
  <c r="S14" i="12"/>
  <c r="S15" i="12"/>
  <c r="S16" i="12"/>
  <c r="S17" i="12"/>
  <c r="S18" i="12"/>
  <c r="S19" i="12"/>
  <c r="S20" i="12"/>
  <c r="S21" i="12"/>
  <c r="S22" i="12"/>
  <c r="S23" i="12"/>
  <c r="S24" i="12"/>
  <c r="S28" i="12"/>
  <c r="S29" i="12"/>
  <c r="S30" i="12"/>
  <c r="S31" i="12"/>
  <c r="S32" i="12"/>
  <c r="S33" i="12"/>
  <c r="S34" i="12"/>
  <c r="S35" i="12"/>
  <c r="S36" i="12"/>
  <c r="S37" i="12"/>
  <c r="S38" i="12"/>
  <c r="S39" i="12"/>
  <c r="S40" i="12"/>
  <c r="S41" i="12"/>
  <c r="S42" i="12"/>
  <c r="S44" i="12"/>
  <c r="H35" i="6"/>
  <c r="E35" i="6"/>
  <c r="H34" i="6"/>
  <c r="E34" i="6"/>
  <c r="L35" i="5"/>
  <c r="K35" i="5"/>
  <c r="J35" i="5"/>
  <c r="I35" i="5"/>
  <c r="L34" i="5"/>
  <c r="K34" i="5"/>
  <c r="J34" i="5"/>
  <c r="I34" i="5"/>
  <c r="F73" i="14"/>
  <c r="F72" i="14"/>
  <c r="F71" i="14"/>
  <c r="F70" i="14"/>
  <c r="F69" i="14"/>
  <c r="F68" i="14"/>
  <c r="F67" i="14"/>
  <c r="F66" i="14"/>
  <c r="F65" i="14"/>
  <c r="F64" i="14"/>
  <c r="F63" i="14"/>
  <c r="F62" i="14"/>
  <c r="F61" i="14"/>
  <c r="F60" i="14"/>
  <c r="F59" i="14"/>
  <c r="F58" i="14"/>
  <c r="F57" i="14"/>
  <c r="F56" i="14"/>
  <c r="F55" i="14"/>
  <c r="F54" i="14"/>
  <c r="F53" i="14"/>
  <c r="F52" i="14"/>
  <c r="F51" i="14"/>
  <c r="F50" i="14"/>
  <c r="F49" i="14"/>
  <c r="F47" i="14"/>
  <c r="F48" i="14"/>
  <c r="I49" i="14"/>
  <c r="F33" i="14"/>
  <c r="F32" i="14"/>
  <c r="F31" i="14"/>
  <c r="F30" i="14"/>
  <c r="F29" i="14"/>
  <c r="F28" i="14"/>
  <c r="F27" i="14"/>
  <c r="F26" i="14"/>
  <c r="I33" i="14"/>
  <c r="I62" i="14"/>
  <c r="I70" i="14"/>
  <c r="I26" i="14"/>
  <c r="I47" i="14"/>
  <c r="I55" i="14"/>
  <c r="I63" i="14"/>
  <c r="I71" i="14"/>
  <c r="I54" i="14"/>
  <c r="I28" i="14"/>
  <c r="I65" i="14"/>
  <c r="I29" i="14"/>
  <c r="I30" i="14"/>
  <c r="I59" i="14"/>
  <c r="I27" i="14"/>
  <c r="I57" i="14"/>
  <c r="I73" i="14"/>
  <c r="I51" i="14"/>
  <c r="I31" i="14"/>
  <c r="I32" i="14"/>
  <c r="I50" i="14"/>
  <c r="I61" i="14"/>
  <c r="I69" i="14"/>
  <c r="I48" i="14"/>
  <c r="I56" i="14"/>
  <c r="I64" i="14"/>
  <c r="I72" i="14"/>
  <c r="I66" i="14"/>
  <c r="I67" i="14"/>
  <c r="I52" i="14"/>
  <c r="I53" i="14"/>
  <c r="I58" i="14"/>
  <c r="I60" i="14"/>
  <c r="I68" i="14"/>
  <c r="E25" i="25"/>
  <c r="E13" i="29"/>
  <c r="E27" i="29"/>
  <c r="E28" i="29"/>
  <c r="E30" i="29"/>
  <c r="E36" i="29"/>
  <c r="E37" i="29"/>
  <c r="E44" i="29"/>
  <c r="E43" i="29"/>
  <c r="E45" i="29"/>
  <c r="E29" i="29"/>
  <c r="E31" i="29"/>
  <c r="E49" i="29"/>
  <c r="E48" i="29"/>
  <c r="E50" i="29"/>
  <c r="E61" i="29"/>
  <c r="F45" i="1"/>
  <c r="C13" i="31"/>
  <c r="E55" i="29"/>
  <c r="E56" i="29"/>
  <c r="E57" i="29"/>
  <c r="E62" i="29"/>
  <c r="C7" i="31"/>
  <c r="C8" i="31"/>
  <c r="C9" i="31"/>
  <c r="E41" i="30"/>
  <c r="E40" i="30"/>
  <c r="E39" i="30"/>
  <c r="E38" i="30"/>
  <c r="E37" i="30"/>
  <c r="E36" i="30"/>
  <c r="E35" i="30"/>
  <c r="E34" i="30"/>
  <c r="E22" i="30"/>
  <c r="E24" i="30"/>
  <c r="E25" i="30"/>
  <c r="E11" i="30"/>
  <c r="E10" i="30"/>
  <c r="E9" i="30"/>
  <c r="E8" i="30"/>
  <c r="E60" i="29"/>
  <c r="E14" i="29"/>
  <c r="N19" i="25"/>
  <c r="K19" i="25"/>
  <c r="H19" i="25"/>
  <c r="E19" i="25"/>
  <c r="B19" i="25"/>
  <c r="E47" i="29"/>
  <c r="E52" i="29"/>
  <c r="E51" i="29"/>
  <c r="L49" i="28"/>
  <c r="E38" i="28"/>
  <c r="E37" i="28"/>
  <c r="D37" i="28"/>
  <c r="E36" i="28"/>
  <c r="E35" i="28"/>
  <c r="E34" i="28"/>
  <c r="E33" i="28"/>
  <c r="E32" i="28"/>
  <c r="E31" i="28"/>
  <c r="E30" i="28"/>
  <c r="E29" i="28"/>
  <c r="E28" i="28"/>
  <c r="D27" i="28"/>
  <c r="C27" i="28"/>
  <c r="E27" i="28"/>
  <c r="D26" i="28"/>
  <c r="C26" i="28"/>
  <c r="D25" i="28"/>
  <c r="D24" i="28"/>
  <c r="D23" i="28"/>
  <c r="E22" i="28"/>
  <c r="D22" i="28"/>
  <c r="E21" i="28"/>
  <c r="D21" i="28"/>
  <c r="E19" i="28"/>
  <c r="C19" i="28"/>
  <c r="D19" i="28"/>
  <c r="E18" i="28"/>
  <c r="C18" i="28"/>
  <c r="D18" i="28"/>
  <c r="E17" i="28"/>
  <c r="C17" i="28"/>
  <c r="D17" i="28"/>
  <c r="E16" i="28"/>
  <c r="E15" i="28"/>
  <c r="D15" i="28"/>
  <c r="E14" i="28"/>
  <c r="C14" i="28"/>
  <c r="D14" i="28"/>
  <c r="E13" i="28"/>
  <c r="E12" i="28"/>
  <c r="E11" i="28"/>
  <c r="C11" i="28"/>
  <c r="E10" i="28"/>
  <c r="C10" i="28"/>
  <c r="D10" i="28"/>
  <c r="E9" i="28"/>
  <c r="E8" i="28"/>
  <c r="E7" i="28"/>
  <c r="E6" i="28"/>
  <c r="E5" i="28"/>
  <c r="E4" i="28"/>
  <c r="E3" i="28"/>
  <c r="H18" i="27"/>
  <c r="J17" i="27"/>
  <c r="K17" i="27"/>
  <c r="H17" i="27"/>
  <c r="F16" i="27"/>
  <c r="J15" i="27"/>
  <c r="K15" i="27"/>
  <c r="B15" i="27"/>
  <c r="J14" i="27"/>
  <c r="K14" i="27"/>
  <c r="B14" i="27"/>
  <c r="J12" i="27"/>
  <c r="H12" i="27"/>
  <c r="F12" i="27"/>
  <c r="B12" i="27"/>
  <c r="J11" i="27"/>
  <c r="K11" i="27"/>
  <c r="H11" i="27"/>
  <c r="B11" i="27"/>
  <c r="K10" i="27"/>
  <c r="H10" i="27"/>
  <c r="F10" i="27"/>
  <c r="D10" i="27"/>
  <c r="D14" i="27"/>
  <c r="B10" i="27"/>
  <c r="H19" i="27"/>
  <c r="I18" i="27"/>
  <c r="B19" i="27"/>
  <c r="C14" i="27"/>
  <c r="E46" i="29"/>
  <c r="E20" i="28"/>
  <c r="E26" i="28"/>
  <c r="D11" i="28"/>
  <c r="C13" i="28"/>
  <c r="C16" i="28"/>
  <c r="C12" i="28"/>
  <c r="D12" i="28"/>
  <c r="F19" i="27"/>
  <c r="G10" i="27"/>
  <c r="D11" i="27"/>
  <c r="D12" i="27"/>
  <c r="D13" i="27"/>
  <c r="C14" i="31"/>
  <c r="C15" i="31"/>
  <c r="I17" i="27"/>
  <c r="I12" i="27"/>
  <c r="I10" i="27"/>
  <c r="I11" i="27"/>
  <c r="C10" i="27"/>
  <c r="C15" i="27"/>
  <c r="C11" i="27"/>
  <c r="C12" i="27"/>
  <c r="G12" i="27"/>
  <c r="G16" i="27"/>
  <c r="D13" i="28"/>
  <c r="D16" i="28"/>
  <c r="C20" i="28"/>
  <c r="D19" i="27"/>
  <c r="E13" i="27"/>
  <c r="G19" i="27"/>
  <c r="I19" i="27"/>
  <c r="C19" i="27"/>
  <c r="E12" i="27"/>
  <c r="D20" i="28"/>
  <c r="E14" i="27"/>
  <c r="E10" i="27"/>
  <c r="E11" i="27"/>
  <c r="N195" i="8"/>
  <c r="M195" i="8"/>
  <c r="L195" i="8"/>
  <c r="K195" i="8"/>
  <c r="J195" i="8"/>
  <c r="I195" i="8"/>
  <c r="H195" i="8"/>
  <c r="G195" i="8"/>
  <c r="F195" i="8"/>
  <c r="N179" i="8"/>
  <c r="M179" i="8"/>
  <c r="L179" i="8"/>
  <c r="K179" i="8"/>
  <c r="J179" i="8"/>
  <c r="I179" i="8"/>
  <c r="H179" i="8"/>
  <c r="G179" i="8"/>
  <c r="F179" i="8"/>
  <c r="N184" i="8"/>
  <c r="M184" i="8"/>
  <c r="L184" i="8"/>
  <c r="K184" i="8"/>
  <c r="J184" i="8"/>
  <c r="I184" i="8"/>
  <c r="H184" i="8"/>
  <c r="G184" i="8"/>
  <c r="F184" i="8"/>
  <c r="N162" i="8"/>
  <c r="M162" i="8"/>
  <c r="L162" i="8"/>
  <c r="K162" i="8"/>
  <c r="J162" i="8"/>
  <c r="I162" i="8"/>
  <c r="H162" i="8"/>
  <c r="G162" i="8"/>
  <c r="F162" i="8"/>
  <c r="N157" i="8"/>
  <c r="M157" i="8"/>
  <c r="L157" i="8"/>
  <c r="K157" i="8"/>
  <c r="J157" i="8"/>
  <c r="I157" i="8"/>
  <c r="H157" i="8"/>
  <c r="G157" i="8"/>
  <c r="F157" i="8"/>
  <c r="E19" i="27"/>
  <c r="F225" i="14"/>
  <c r="F224" i="14"/>
  <c r="F223" i="14"/>
  <c r="F222" i="14"/>
  <c r="F221" i="14"/>
  <c r="F220" i="14"/>
  <c r="F188" i="14"/>
  <c r="F187" i="14"/>
  <c r="F186" i="14"/>
  <c r="F185" i="14"/>
  <c r="F184" i="14"/>
  <c r="F183" i="14"/>
  <c r="F182" i="14"/>
  <c r="F181" i="14"/>
  <c r="F180" i="14"/>
  <c r="F179" i="14"/>
  <c r="F178" i="14"/>
  <c r="F177" i="14"/>
  <c r="F176" i="14"/>
  <c r="F175" i="14"/>
  <c r="F174" i="14"/>
  <c r="F173" i="14"/>
  <c r="F172" i="14"/>
  <c r="F171" i="14"/>
  <c r="F170" i="14"/>
  <c r="F169" i="14"/>
  <c r="F168" i="14"/>
  <c r="F167" i="14"/>
  <c r="F166" i="14"/>
  <c r="F165" i="14"/>
  <c r="F164" i="14"/>
  <c r="I165"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5" i="14"/>
  <c r="F84" i="14"/>
  <c r="F83" i="14"/>
  <c r="F82" i="14"/>
  <c r="F81" i="14"/>
  <c r="F80" i="14"/>
  <c r="F79" i="14"/>
  <c r="F78" i="14"/>
  <c r="F77" i="14"/>
  <c r="F76" i="14"/>
  <c r="F75" i="14"/>
  <c r="F74" i="14"/>
  <c r="F46" i="14"/>
  <c r="F45" i="14"/>
  <c r="F44" i="14"/>
  <c r="F43" i="14"/>
  <c r="F42" i="14"/>
  <c r="F41" i="14"/>
  <c r="F40" i="14"/>
  <c r="F39" i="14"/>
  <c r="F38" i="14"/>
  <c r="F37" i="14"/>
  <c r="F36" i="14"/>
  <c r="F35" i="14"/>
  <c r="F34" i="14"/>
  <c r="I35" i="14"/>
  <c r="F25" i="14"/>
  <c r="F24" i="14"/>
  <c r="F23" i="14"/>
  <c r="F22" i="14"/>
  <c r="F21" i="14"/>
  <c r="F20" i="14"/>
  <c r="F19" i="14"/>
  <c r="F18" i="14"/>
  <c r="F17" i="14"/>
  <c r="F16" i="14"/>
  <c r="F15" i="14"/>
  <c r="F14" i="14"/>
  <c r="F13" i="14"/>
  <c r="F12" i="14"/>
  <c r="F11" i="14"/>
  <c r="F10" i="14"/>
  <c r="F9" i="14"/>
  <c r="F8" i="14"/>
  <c r="F7" i="14"/>
  <c r="E170" i="23"/>
  <c r="D170" i="23"/>
  <c r="E169" i="23"/>
  <c r="D169" i="23"/>
  <c r="H32" i="1"/>
  <c r="H31" i="1"/>
  <c r="S26" i="12"/>
  <c r="S27" i="12"/>
  <c r="D49" i="1"/>
  <c r="AF26" i="12"/>
  <c r="AF27" i="12"/>
  <c r="AE26" i="12"/>
  <c r="AE27" i="12"/>
  <c r="D36" i="1"/>
  <c r="AD26" i="12"/>
  <c r="AD27" i="12"/>
  <c r="D31" i="1"/>
  <c r="AC26" i="12"/>
  <c r="AC27" i="12"/>
  <c r="D30" i="1"/>
  <c r="AB26" i="12"/>
  <c r="AB27" i="12"/>
  <c r="AA26" i="12"/>
  <c r="AA27" i="12"/>
  <c r="Z26" i="12"/>
  <c r="Z27" i="12"/>
  <c r="Y26" i="12"/>
  <c r="Y27" i="12"/>
  <c r="X26" i="12"/>
  <c r="X27" i="12"/>
  <c r="W26" i="12"/>
  <c r="W27" i="12"/>
  <c r="D24" i="1"/>
  <c r="U26" i="12"/>
  <c r="U27" i="12"/>
  <c r="D23" i="1"/>
  <c r="AG26" i="12"/>
  <c r="AG27" i="12"/>
  <c r="V26" i="12"/>
  <c r="V27" i="12"/>
  <c r="T26" i="12"/>
  <c r="T27" i="12"/>
  <c r="AG9" i="12"/>
  <c r="AF9" i="12"/>
  <c r="AE9" i="12"/>
  <c r="AD9" i="12"/>
  <c r="AC9" i="12"/>
  <c r="AB9" i="12"/>
  <c r="AA9" i="12"/>
  <c r="Z9" i="12"/>
  <c r="Y9" i="12"/>
  <c r="X9" i="12"/>
  <c r="W9" i="12"/>
  <c r="V9" i="12"/>
  <c r="U9" i="12"/>
  <c r="T9" i="12"/>
  <c r="S9" i="12"/>
  <c r="AG8" i="12"/>
  <c r="AF8" i="12"/>
  <c r="AE8" i="12"/>
  <c r="AD8" i="12"/>
  <c r="AC8" i="12"/>
  <c r="AB8" i="12"/>
  <c r="AA8" i="12"/>
  <c r="Z8" i="12"/>
  <c r="Y8" i="12"/>
  <c r="X8" i="12"/>
  <c r="W8" i="12"/>
  <c r="V8" i="12"/>
  <c r="U8" i="12"/>
  <c r="T8" i="12"/>
  <c r="S8" i="12"/>
  <c r="I17" i="5"/>
  <c r="J17" i="5"/>
  <c r="K17" i="5"/>
  <c r="L17" i="5"/>
  <c r="H17" i="6"/>
  <c r="I18" i="5"/>
  <c r="J18" i="5"/>
  <c r="K18" i="5"/>
  <c r="L18" i="5"/>
  <c r="H18" i="6"/>
  <c r="I19" i="5"/>
  <c r="J19" i="5"/>
  <c r="K19" i="5"/>
  <c r="L19" i="5"/>
  <c r="H19" i="6"/>
  <c r="I20" i="5"/>
  <c r="J20" i="5"/>
  <c r="K20" i="5"/>
  <c r="L20" i="5"/>
  <c r="H20" i="6"/>
  <c r="T38" i="24"/>
  <c r="V38" i="24"/>
  <c r="I21" i="5"/>
  <c r="J21" i="5"/>
  <c r="K21" i="5"/>
  <c r="L21" i="5"/>
  <c r="H21" i="6"/>
  <c r="I22" i="5"/>
  <c r="J22" i="5"/>
  <c r="K22" i="5"/>
  <c r="L22" i="5"/>
  <c r="H22" i="6"/>
  <c r="T43" i="24"/>
  <c r="V43" i="24"/>
  <c r="I23" i="5"/>
  <c r="J23" i="5"/>
  <c r="K23" i="5"/>
  <c r="L23" i="5"/>
  <c r="H23" i="6"/>
  <c r="I24" i="5"/>
  <c r="J24" i="5"/>
  <c r="K24" i="5"/>
  <c r="L24" i="5"/>
  <c r="H24" i="6"/>
  <c r="I25" i="5"/>
  <c r="J25" i="5"/>
  <c r="K25" i="5"/>
  <c r="L25" i="5"/>
  <c r="H25" i="6"/>
  <c r="I26" i="5"/>
  <c r="J26" i="5"/>
  <c r="K26" i="5"/>
  <c r="L26" i="5"/>
  <c r="H26" i="6"/>
  <c r="T60" i="24"/>
  <c r="V60" i="24"/>
  <c r="I28" i="5"/>
  <c r="J28" i="5"/>
  <c r="K28" i="5"/>
  <c r="L28" i="5"/>
  <c r="H28" i="6"/>
  <c r="I29" i="5"/>
  <c r="J29" i="5"/>
  <c r="K29" i="5"/>
  <c r="L29" i="5"/>
  <c r="H29" i="6"/>
  <c r="I30" i="5"/>
  <c r="J30" i="5"/>
  <c r="K30" i="5"/>
  <c r="L30" i="5"/>
  <c r="H30" i="6"/>
  <c r="I31" i="5"/>
  <c r="J31" i="5"/>
  <c r="K31" i="5"/>
  <c r="L31" i="5"/>
  <c r="H31" i="6"/>
  <c r="I32" i="5"/>
  <c r="J32" i="5"/>
  <c r="K32" i="5"/>
  <c r="L32" i="5"/>
  <c r="H32" i="6"/>
  <c r="I33" i="5"/>
  <c r="J33" i="5"/>
  <c r="K33" i="5"/>
  <c r="L33" i="5"/>
  <c r="H33" i="6"/>
  <c r="I37" i="5"/>
  <c r="J37" i="5"/>
  <c r="K37" i="5"/>
  <c r="L37" i="5"/>
  <c r="H37" i="6"/>
  <c r="I38" i="5"/>
  <c r="J38" i="5"/>
  <c r="K38" i="5"/>
  <c r="L38" i="5"/>
  <c r="H38" i="6"/>
  <c r="I39" i="5"/>
  <c r="J39" i="5"/>
  <c r="K39" i="5"/>
  <c r="L39" i="5"/>
  <c r="H39" i="6"/>
  <c r="I40" i="5"/>
  <c r="J40" i="5"/>
  <c r="K40" i="5"/>
  <c r="L40" i="5"/>
  <c r="H40" i="6"/>
  <c r="T51" i="24"/>
  <c r="V51" i="24"/>
  <c r="I41" i="5"/>
  <c r="J41" i="5"/>
  <c r="K41" i="5"/>
  <c r="L41" i="5"/>
  <c r="H41" i="6"/>
  <c r="I42" i="5"/>
  <c r="J42" i="5"/>
  <c r="K42" i="5"/>
  <c r="L42" i="5"/>
  <c r="H42" i="6"/>
  <c r="I43" i="5"/>
  <c r="J43" i="5"/>
  <c r="K43" i="5"/>
  <c r="L43" i="5"/>
  <c r="H43" i="6"/>
  <c r="I44" i="5"/>
  <c r="J44" i="5"/>
  <c r="K44" i="5"/>
  <c r="L44" i="5"/>
  <c r="H44" i="6"/>
  <c r="I45" i="5"/>
  <c r="J45" i="5"/>
  <c r="K45" i="5"/>
  <c r="L45" i="5"/>
  <c r="H45" i="6"/>
  <c r="I46" i="5"/>
  <c r="J46" i="5"/>
  <c r="K46" i="5"/>
  <c r="L46" i="5"/>
  <c r="H46" i="6"/>
  <c r="I47" i="5"/>
  <c r="J47" i="5"/>
  <c r="K47" i="5"/>
  <c r="L47" i="5"/>
  <c r="H47" i="6"/>
  <c r="I48" i="5"/>
  <c r="J48" i="5"/>
  <c r="K48" i="5"/>
  <c r="L48" i="5"/>
  <c r="H48" i="6"/>
  <c r="I49" i="5"/>
  <c r="J49" i="5"/>
  <c r="K49" i="5"/>
  <c r="L49" i="5"/>
  <c r="H49" i="6"/>
  <c r="I51" i="5"/>
  <c r="J51" i="5"/>
  <c r="K51" i="5"/>
  <c r="L51" i="5"/>
  <c r="H51" i="6"/>
  <c r="T15" i="24"/>
  <c r="V15" i="24"/>
  <c r="I52" i="5"/>
  <c r="J52" i="5"/>
  <c r="K52" i="5"/>
  <c r="L52" i="5"/>
  <c r="H52" i="6"/>
  <c r="I53" i="5"/>
  <c r="J53" i="5"/>
  <c r="K53" i="5"/>
  <c r="L53" i="5"/>
  <c r="H53" i="6"/>
  <c r="I54" i="5"/>
  <c r="J54" i="5"/>
  <c r="K54" i="5"/>
  <c r="L54" i="5"/>
  <c r="H54" i="6"/>
  <c r="I55" i="5"/>
  <c r="J55" i="5"/>
  <c r="K55" i="5"/>
  <c r="L55" i="5"/>
  <c r="H55" i="6"/>
  <c r="T52" i="24"/>
  <c r="V52" i="24"/>
  <c r="I56" i="5"/>
  <c r="J56" i="5"/>
  <c r="K56" i="5"/>
  <c r="L56" i="5"/>
  <c r="H56" i="6"/>
  <c r="I57" i="5"/>
  <c r="J57" i="5"/>
  <c r="K57" i="5"/>
  <c r="L57" i="5"/>
  <c r="H57" i="6"/>
  <c r="I58" i="5"/>
  <c r="J58" i="5"/>
  <c r="K58" i="5"/>
  <c r="L58" i="5"/>
  <c r="H58" i="6"/>
  <c r="I59" i="5"/>
  <c r="J59" i="5"/>
  <c r="K59" i="5"/>
  <c r="L59" i="5"/>
  <c r="H59" i="6"/>
  <c r="T28" i="24"/>
  <c r="V28" i="24"/>
  <c r="I60" i="5"/>
  <c r="J60" i="5"/>
  <c r="K60" i="5"/>
  <c r="L60" i="5"/>
  <c r="H60" i="6"/>
  <c r="I61" i="5"/>
  <c r="J61" i="5"/>
  <c r="K61" i="5"/>
  <c r="L61" i="5"/>
  <c r="H61" i="6"/>
  <c r="T29" i="24"/>
  <c r="V29" i="24"/>
  <c r="I62" i="5"/>
  <c r="J62" i="5"/>
  <c r="K62" i="5"/>
  <c r="L62" i="5"/>
  <c r="H62" i="6"/>
  <c r="I63" i="5"/>
  <c r="J63" i="5"/>
  <c r="K63" i="5"/>
  <c r="L63" i="5"/>
  <c r="H63" i="6"/>
  <c r="I64" i="5"/>
  <c r="J64" i="5"/>
  <c r="K64" i="5"/>
  <c r="L64" i="5"/>
  <c r="H64" i="6"/>
  <c r="I65" i="5"/>
  <c r="J65" i="5"/>
  <c r="K65" i="5"/>
  <c r="L65" i="5"/>
  <c r="H65" i="6"/>
  <c r="T37" i="24"/>
  <c r="V37" i="24"/>
  <c r="I66" i="5"/>
  <c r="J66" i="5"/>
  <c r="K66" i="5"/>
  <c r="L66" i="5"/>
  <c r="H66" i="6"/>
  <c r="I67" i="5"/>
  <c r="J67" i="5"/>
  <c r="K67" i="5"/>
  <c r="L67" i="5"/>
  <c r="H67" i="6"/>
  <c r="I68" i="5"/>
  <c r="J68" i="5"/>
  <c r="K68" i="5"/>
  <c r="L68" i="5"/>
  <c r="H68" i="6"/>
  <c r="I69" i="5"/>
  <c r="J69" i="5"/>
  <c r="K69" i="5"/>
  <c r="L69" i="5"/>
  <c r="H69" i="6"/>
  <c r="I70" i="5"/>
  <c r="J70" i="5"/>
  <c r="K70" i="5"/>
  <c r="L70" i="5"/>
  <c r="H70" i="6"/>
  <c r="I71" i="5"/>
  <c r="J71" i="5"/>
  <c r="K71" i="5"/>
  <c r="L71" i="5"/>
  <c r="H71" i="6"/>
  <c r="I72" i="5"/>
  <c r="J72" i="5"/>
  <c r="K72" i="5"/>
  <c r="L72" i="5"/>
  <c r="H72" i="6"/>
  <c r="I73" i="5"/>
  <c r="J73" i="5"/>
  <c r="K73" i="5"/>
  <c r="L73" i="5"/>
  <c r="H73" i="6"/>
  <c r="I74" i="5"/>
  <c r="J74" i="5"/>
  <c r="K74" i="5"/>
  <c r="L74" i="5"/>
  <c r="H74" i="6"/>
  <c r="I75" i="5"/>
  <c r="J75" i="5"/>
  <c r="K75" i="5"/>
  <c r="L75" i="5"/>
  <c r="H75" i="6"/>
  <c r="T20" i="24"/>
  <c r="V20" i="24"/>
  <c r="I76" i="5"/>
  <c r="J76" i="5"/>
  <c r="K76" i="5"/>
  <c r="L76" i="5"/>
  <c r="H76" i="6"/>
  <c r="I77" i="5"/>
  <c r="J77" i="5"/>
  <c r="K77" i="5"/>
  <c r="L77" i="5"/>
  <c r="H77" i="6"/>
  <c r="T59" i="24"/>
  <c r="V59" i="24"/>
  <c r="I79" i="5"/>
  <c r="J79" i="5"/>
  <c r="K79" i="5"/>
  <c r="L79" i="5"/>
  <c r="H79" i="6"/>
  <c r="I80" i="5"/>
  <c r="J80" i="5"/>
  <c r="K80" i="5"/>
  <c r="L80" i="5"/>
  <c r="H80" i="6"/>
  <c r="I81" i="5"/>
  <c r="J81" i="5"/>
  <c r="K81" i="5"/>
  <c r="L81" i="5"/>
  <c r="H81" i="6"/>
  <c r="I82" i="5"/>
  <c r="J82" i="5"/>
  <c r="K82" i="5"/>
  <c r="L82" i="5"/>
  <c r="H82" i="6"/>
  <c r="I83" i="5"/>
  <c r="J83" i="5"/>
  <c r="K83" i="5"/>
  <c r="L83" i="5"/>
  <c r="H83" i="6"/>
  <c r="I84" i="5"/>
  <c r="J84" i="5"/>
  <c r="K84" i="5"/>
  <c r="L84" i="5"/>
  <c r="H84" i="6"/>
  <c r="I85" i="5"/>
  <c r="J85" i="5"/>
  <c r="K85" i="5"/>
  <c r="L85" i="5"/>
  <c r="H85" i="6"/>
  <c r="I86" i="5"/>
  <c r="J86" i="5"/>
  <c r="K86" i="5"/>
  <c r="L86" i="5"/>
  <c r="H86" i="6"/>
  <c r="I87" i="5"/>
  <c r="J87" i="5"/>
  <c r="K87" i="5"/>
  <c r="L87" i="5"/>
  <c r="H87" i="6"/>
  <c r="I89" i="5"/>
  <c r="J89" i="5"/>
  <c r="K89" i="5"/>
  <c r="L89" i="5"/>
  <c r="H89" i="6"/>
  <c r="T67" i="24"/>
  <c r="V67" i="24"/>
  <c r="I90" i="5"/>
  <c r="J90" i="5"/>
  <c r="K90" i="5"/>
  <c r="L90" i="5"/>
  <c r="H90" i="6"/>
  <c r="I91" i="5"/>
  <c r="J91" i="5"/>
  <c r="K91" i="5"/>
  <c r="L91" i="5"/>
  <c r="H91" i="6"/>
  <c r="I92" i="5"/>
  <c r="J92" i="5"/>
  <c r="K92" i="5"/>
  <c r="L92" i="5"/>
  <c r="H92" i="6"/>
  <c r="I93" i="5"/>
  <c r="J93" i="5"/>
  <c r="K93" i="5"/>
  <c r="L93" i="5"/>
  <c r="H93" i="6"/>
  <c r="I94" i="5"/>
  <c r="J94" i="5"/>
  <c r="K94" i="5"/>
  <c r="L94" i="5"/>
  <c r="H94" i="6"/>
  <c r="I95" i="5"/>
  <c r="J95" i="5"/>
  <c r="K95" i="5"/>
  <c r="L95" i="5"/>
  <c r="H95" i="6"/>
  <c r="I96" i="5"/>
  <c r="J96" i="5"/>
  <c r="K96" i="5"/>
  <c r="L96" i="5"/>
  <c r="H96" i="6"/>
  <c r="I97" i="5"/>
  <c r="J97" i="5"/>
  <c r="K97" i="5"/>
  <c r="L97" i="5"/>
  <c r="H97" i="6"/>
  <c r="I98" i="5"/>
  <c r="J98" i="5"/>
  <c r="K98" i="5"/>
  <c r="L98" i="5"/>
  <c r="H98" i="6"/>
  <c r="I99" i="5"/>
  <c r="J99" i="5"/>
  <c r="K99" i="5"/>
  <c r="L99" i="5"/>
  <c r="H99" i="6"/>
  <c r="T70" i="24"/>
  <c r="V70" i="24"/>
  <c r="I100" i="5"/>
  <c r="J100" i="5"/>
  <c r="K100" i="5"/>
  <c r="L100" i="5"/>
  <c r="H100" i="6"/>
  <c r="I101" i="5"/>
  <c r="J101" i="5"/>
  <c r="K101" i="5"/>
  <c r="L101" i="5"/>
  <c r="H101" i="6"/>
  <c r="I102" i="5"/>
  <c r="J102" i="5"/>
  <c r="K102" i="5"/>
  <c r="L102" i="5"/>
  <c r="H102" i="6"/>
  <c r="I103" i="5"/>
  <c r="J103" i="5"/>
  <c r="K103" i="5"/>
  <c r="L103" i="5"/>
  <c r="H103" i="6"/>
  <c r="I104" i="5"/>
  <c r="J104" i="5"/>
  <c r="K104" i="5"/>
  <c r="L104" i="5"/>
  <c r="H104" i="6"/>
  <c r="T78" i="24"/>
  <c r="V78" i="24"/>
  <c r="I105" i="5"/>
  <c r="J105" i="5"/>
  <c r="K105" i="5"/>
  <c r="L105" i="5"/>
  <c r="H105" i="6"/>
  <c r="I106" i="5"/>
  <c r="J106" i="5"/>
  <c r="K106" i="5"/>
  <c r="L106" i="5"/>
  <c r="H106" i="6"/>
  <c r="I107" i="5"/>
  <c r="J107" i="5"/>
  <c r="K107" i="5"/>
  <c r="L107" i="5"/>
  <c r="H107" i="6"/>
  <c r="I108" i="5"/>
  <c r="J108" i="5"/>
  <c r="K108" i="5"/>
  <c r="L108" i="5"/>
  <c r="H108" i="6"/>
  <c r="I109" i="5"/>
  <c r="J109" i="5"/>
  <c r="K109" i="5"/>
  <c r="L109" i="5"/>
  <c r="H109" i="6"/>
  <c r="I110" i="5"/>
  <c r="J110" i="5"/>
  <c r="K110" i="5"/>
  <c r="L110" i="5"/>
  <c r="H110" i="6"/>
  <c r="I111" i="5"/>
  <c r="J111" i="5"/>
  <c r="K111" i="5"/>
  <c r="L111" i="5"/>
  <c r="H111" i="6"/>
  <c r="I112" i="5"/>
  <c r="J112" i="5"/>
  <c r="K112" i="5"/>
  <c r="L112" i="5"/>
  <c r="H112" i="6"/>
  <c r="I113" i="5"/>
  <c r="J113" i="5"/>
  <c r="K113" i="5"/>
  <c r="L113" i="5"/>
  <c r="H113" i="6"/>
  <c r="I114" i="5"/>
  <c r="J114" i="5"/>
  <c r="K114" i="5"/>
  <c r="L114" i="5"/>
  <c r="H114" i="6"/>
  <c r="I116" i="5"/>
  <c r="J116" i="5"/>
  <c r="K116" i="5"/>
  <c r="L116" i="5"/>
  <c r="H116" i="6"/>
  <c r="T86" i="24"/>
  <c r="V86" i="24"/>
  <c r="I117" i="5"/>
  <c r="J117" i="5"/>
  <c r="K117" i="5"/>
  <c r="L117" i="5"/>
  <c r="H117" i="6"/>
  <c r="I118" i="5"/>
  <c r="J118" i="5"/>
  <c r="K118" i="5"/>
  <c r="L118" i="5"/>
  <c r="H118" i="6"/>
  <c r="I119" i="5"/>
  <c r="J119" i="5"/>
  <c r="K119" i="5"/>
  <c r="L119" i="5"/>
  <c r="H119" i="6"/>
  <c r="I120" i="5"/>
  <c r="J120" i="5"/>
  <c r="K120" i="5"/>
  <c r="L120" i="5"/>
  <c r="H120" i="6"/>
  <c r="I121" i="5"/>
  <c r="J121" i="5"/>
  <c r="K121" i="5"/>
  <c r="L121" i="5"/>
  <c r="H121" i="6"/>
  <c r="I122" i="5"/>
  <c r="J122" i="5"/>
  <c r="K122" i="5"/>
  <c r="L122" i="5"/>
  <c r="H122" i="6"/>
  <c r="I123" i="5"/>
  <c r="J123" i="5"/>
  <c r="K123" i="5"/>
  <c r="L123" i="5"/>
  <c r="H123" i="6"/>
  <c r="I127" i="5"/>
  <c r="J127" i="5"/>
  <c r="K127" i="5"/>
  <c r="L127" i="5"/>
  <c r="H127" i="6"/>
  <c r="T87" i="24"/>
  <c r="V87" i="24"/>
  <c r="I128" i="5"/>
  <c r="J128" i="5"/>
  <c r="K128" i="5"/>
  <c r="L128" i="5"/>
  <c r="H128" i="6"/>
  <c r="I129" i="5"/>
  <c r="J129" i="5"/>
  <c r="K129" i="5"/>
  <c r="L129" i="5"/>
  <c r="H129" i="6"/>
  <c r="I130" i="5"/>
  <c r="J130" i="5"/>
  <c r="K130" i="5"/>
  <c r="L130" i="5"/>
  <c r="H130" i="6"/>
  <c r="I131" i="5"/>
  <c r="J131" i="5"/>
  <c r="K131" i="5"/>
  <c r="L131" i="5"/>
  <c r="H131" i="6"/>
  <c r="I132" i="5"/>
  <c r="J132" i="5"/>
  <c r="K132" i="5"/>
  <c r="L132" i="5"/>
  <c r="H132" i="6"/>
  <c r="I133" i="5"/>
  <c r="J133" i="5"/>
  <c r="K133" i="5"/>
  <c r="L133" i="5"/>
  <c r="H133" i="6"/>
  <c r="I134" i="5"/>
  <c r="J134" i="5"/>
  <c r="K134" i="5"/>
  <c r="L134" i="5"/>
  <c r="H134" i="6"/>
  <c r="I135" i="5"/>
  <c r="J135" i="5"/>
  <c r="K135" i="5"/>
  <c r="L135" i="5"/>
  <c r="H135" i="6"/>
  <c r="I136" i="5"/>
  <c r="J136" i="5"/>
  <c r="K136" i="5"/>
  <c r="L136" i="5"/>
  <c r="H136" i="6"/>
  <c r="I137" i="5"/>
  <c r="J137" i="5"/>
  <c r="K137" i="5"/>
  <c r="L137" i="5"/>
  <c r="H137" i="6"/>
  <c r="I138" i="5"/>
  <c r="J138" i="5"/>
  <c r="K138" i="5"/>
  <c r="L138" i="5"/>
  <c r="H138" i="6"/>
  <c r="I140" i="5"/>
  <c r="J140" i="5"/>
  <c r="K140" i="5"/>
  <c r="L140" i="5"/>
  <c r="I141" i="5"/>
  <c r="J141" i="5"/>
  <c r="K141" i="5"/>
  <c r="L141" i="5"/>
  <c r="I142" i="5"/>
  <c r="J142" i="5"/>
  <c r="K142" i="5"/>
  <c r="L142" i="5"/>
  <c r="I143" i="5"/>
  <c r="J143" i="5"/>
  <c r="K143" i="5"/>
  <c r="L143" i="5"/>
  <c r="I144" i="5"/>
  <c r="J144" i="5"/>
  <c r="K144" i="5"/>
  <c r="L144" i="5"/>
  <c r="I145" i="5"/>
  <c r="J145" i="5"/>
  <c r="K145" i="5"/>
  <c r="L145" i="5"/>
  <c r="I146" i="5"/>
  <c r="J146" i="5"/>
  <c r="K146" i="5"/>
  <c r="L146" i="5"/>
  <c r="I147" i="5"/>
  <c r="J147" i="5"/>
  <c r="K147" i="5"/>
  <c r="I148" i="5"/>
  <c r="J148" i="5"/>
  <c r="K148" i="5"/>
  <c r="I149" i="5"/>
  <c r="J149" i="5"/>
  <c r="K149" i="5"/>
  <c r="L149" i="5"/>
  <c r="I150" i="5"/>
  <c r="J150" i="5"/>
  <c r="K150" i="5"/>
  <c r="L150" i="5"/>
  <c r="I151" i="5"/>
  <c r="J151" i="5"/>
  <c r="K151" i="5"/>
  <c r="L151" i="5"/>
  <c r="I152" i="5"/>
  <c r="J152" i="5"/>
  <c r="K152" i="5"/>
  <c r="L152" i="5"/>
  <c r="I153" i="5"/>
  <c r="J153" i="5"/>
  <c r="K153" i="5"/>
  <c r="L153" i="5"/>
  <c r="I154" i="5"/>
  <c r="J154" i="5"/>
  <c r="K154" i="5"/>
  <c r="L154" i="5"/>
  <c r="I155" i="5"/>
  <c r="J155" i="5"/>
  <c r="K155" i="5"/>
  <c r="L155" i="5"/>
  <c r="I156" i="5"/>
  <c r="J156" i="5"/>
  <c r="K156" i="5"/>
  <c r="L156" i="5"/>
  <c r="I158" i="5"/>
  <c r="J158" i="5"/>
  <c r="K158" i="5"/>
  <c r="L158" i="5"/>
  <c r="I159" i="5"/>
  <c r="J159" i="5"/>
  <c r="K159" i="5"/>
  <c r="L159" i="5"/>
  <c r="I160" i="5"/>
  <c r="J160" i="5"/>
  <c r="K160" i="5"/>
  <c r="L160" i="5"/>
  <c r="I161" i="5"/>
  <c r="J161" i="5"/>
  <c r="K161" i="5"/>
  <c r="L161" i="5"/>
  <c r="I163" i="5"/>
  <c r="J163" i="5"/>
  <c r="K163" i="5"/>
  <c r="L163" i="5"/>
  <c r="I164" i="5"/>
  <c r="J164" i="5"/>
  <c r="K164" i="5"/>
  <c r="L164" i="5"/>
  <c r="I165" i="5"/>
  <c r="J165" i="5"/>
  <c r="K165" i="5"/>
  <c r="L165" i="5"/>
  <c r="I166" i="5"/>
  <c r="J166" i="5"/>
  <c r="K166" i="5"/>
  <c r="L166" i="5"/>
  <c r="I167" i="5"/>
  <c r="J167" i="5"/>
  <c r="K167" i="5"/>
  <c r="L167" i="5"/>
  <c r="I168" i="5"/>
  <c r="J168" i="5"/>
  <c r="K168" i="5"/>
  <c r="L168" i="5"/>
  <c r="C21" i="25"/>
  <c r="B21" i="25"/>
  <c r="D22" i="25"/>
  <c r="E21" i="25"/>
  <c r="E22" i="25"/>
  <c r="T161" i="24"/>
  <c r="V161" i="24"/>
  <c r="E169" i="5"/>
  <c r="I169" i="5"/>
  <c r="F169" i="5"/>
  <c r="J169" i="5"/>
  <c r="G169" i="5"/>
  <c r="K169" i="5"/>
  <c r="H169" i="5"/>
  <c r="L169" i="5"/>
  <c r="H169" i="6"/>
  <c r="H190" i="14"/>
  <c r="H196" i="14"/>
  <c r="H202" i="14"/>
  <c r="H208" i="14"/>
  <c r="I197" i="5"/>
  <c r="J197" i="5"/>
  <c r="K197" i="5"/>
  <c r="H197" i="5"/>
  <c r="L197" i="5"/>
  <c r="I204" i="5"/>
  <c r="J204" i="5"/>
  <c r="K204" i="5"/>
  <c r="H204" i="5"/>
  <c r="I205" i="5"/>
  <c r="J205" i="5"/>
  <c r="K205" i="5"/>
  <c r="H205" i="5"/>
  <c r="L205" i="5"/>
  <c r="I206" i="5"/>
  <c r="J206" i="5"/>
  <c r="K206" i="5"/>
  <c r="H206" i="5"/>
  <c r="L206" i="5"/>
  <c r="I207" i="5"/>
  <c r="J207" i="5"/>
  <c r="K207" i="5"/>
  <c r="H207" i="5"/>
  <c r="L207" i="5"/>
  <c r="I208" i="5"/>
  <c r="J208" i="5"/>
  <c r="K208" i="5"/>
  <c r="H208" i="5"/>
  <c r="I209" i="5"/>
  <c r="J209" i="5"/>
  <c r="K209" i="5"/>
  <c r="H209" i="5"/>
  <c r="L209" i="5"/>
  <c r="I173" i="5"/>
  <c r="J173" i="5"/>
  <c r="K173" i="5"/>
  <c r="L173" i="5"/>
  <c r="H173" i="6"/>
  <c r="I198" i="5"/>
  <c r="J198" i="5"/>
  <c r="K198" i="5"/>
  <c r="L198" i="5"/>
  <c r="G200" i="6"/>
  <c r="H200" i="6"/>
  <c r="I200" i="5"/>
  <c r="J200" i="5"/>
  <c r="K200" i="5"/>
  <c r="L200" i="5"/>
  <c r="I201" i="5"/>
  <c r="J201" i="5"/>
  <c r="K201" i="5"/>
  <c r="L201" i="5"/>
  <c r="I175" i="5"/>
  <c r="J175" i="5"/>
  <c r="K175" i="5"/>
  <c r="L175" i="5"/>
  <c r="H175" i="6"/>
  <c r="I199" i="5"/>
  <c r="J199" i="5"/>
  <c r="K199" i="5"/>
  <c r="L199" i="5"/>
  <c r="H199" i="6"/>
  <c r="H170" i="24"/>
  <c r="I170" i="24"/>
  <c r="J170" i="24"/>
  <c r="K170" i="24"/>
  <c r="L170" i="24"/>
  <c r="M170" i="24"/>
  <c r="N170" i="24"/>
  <c r="O170" i="24"/>
  <c r="P170" i="24"/>
  <c r="Q170" i="24"/>
  <c r="I202" i="5"/>
  <c r="J202" i="5"/>
  <c r="K202" i="5"/>
  <c r="L202" i="5"/>
  <c r="I203" i="5"/>
  <c r="J203" i="5"/>
  <c r="K203" i="5"/>
  <c r="L203" i="5"/>
  <c r="I7" i="5"/>
  <c r="J7" i="5"/>
  <c r="K7" i="5"/>
  <c r="L7" i="5"/>
  <c r="G7" i="6"/>
  <c r="H7" i="6"/>
  <c r="I8" i="5"/>
  <c r="J8" i="5"/>
  <c r="K8" i="5"/>
  <c r="L8" i="5"/>
  <c r="H8" i="6"/>
  <c r="T166" i="24"/>
  <c r="V166" i="24"/>
  <c r="I9" i="5"/>
  <c r="J9" i="5"/>
  <c r="K9" i="5"/>
  <c r="L9" i="5"/>
  <c r="G9" i="6"/>
  <c r="H9" i="6"/>
  <c r="I10" i="5"/>
  <c r="J10" i="5"/>
  <c r="K10" i="5"/>
  <c r="L10" i="5"/>
  <c r="H10" i="6"/>
  <c r="I11" i="5"/>
  <c r="J11" i="5"/>
  <c r="K11" i="5"/>
  <c r="L11" i="5"/>
  <c r="H11" i="6"/>
  <c r="I12" i="5"/>
  <c r="J12" i="5"/>
  <c r="K12" i="5"/>
  <c r="L12" i="5"/>
  <c r="H12" i="6"/>
  <c r="T160" i="24"/>
  <c r="V160" i="24"/>
  <c r="I13" i="5"/>
  <c r="J13" i="5"/>
  <c r="K13" i="5"/>
  <c r="L13" i="5"/>
  <c r="G13" i="6"/>
  <c r="H13" i="6"/>
  <c r="T159" i="24"/>
  <c r="V159" i="24"/>
  <c r="I14" i="5"/>
  <c r="J14" i="5"/>
  <c r="K14" i="5"/>
  <c r="L14" i="5"/>
  <c r="G14" i="6"/>
  <c r="H14" i="6"/>
  <c r="T155" i="24"/>
  <c r="V155" i="24"/>
  <c r="I15" i="5"/>
  <c r="J15" i="5"/>
  <c r="K15" i="5"/>
  <c r="L15" i="5"/>
  <c r="G15" i="6"/>
  <c r="H15" i="6"/>
  <c r="T130" i="24"/>
  <c r="V130" i="24"/>
  <c r="I171" i="5"/>
  <c r="I170" i="5"/>
  <c r="J171" i="5"/>
  <c r="J170" i="5"/>
  <c r="K171" i="5"/>
  <c r="K170" i="5"/>
  <c r="L171" i="5"/>
  <c r="L170" i="5"/>
  <c r="I172" i="5"/>
  <c r="J172" i="5"/>
  <c r="K172" i="5"/>
  <c r="L172" i="5"/>
  <c r="H170" i="6"/>
  <c r="I187" i="5"/>
  <c r="J187" i="5"/>
  <c r="K187" i="5"/>
  <c r="L187" i="5"/>
  <c r="H187" i="6"/>
  <c r="I189" i="5"/>
  <c r="J189" i="5"/>
  <c r="K189" i="5"/>
  <c r="L189" i="5"/>
  <c r="H189" i="6"/>
  <c r="I190" i="5"/>
  <c r="J190" i="5"/>
  <c r="K190" i="5"/>
  <c r="L190" i="5"/>
  <c r="H190" i="6"/>
  <c r="T97" i="24"/>
  <c r="V97" i="24"/>
  <c r="I192" i="5"/>
  <c r="J192" i="5"/>
  <c r="K192" i="5"/>
  <c r="L192" i="5"/>
  <c r="H192" i="6"/>
  <c r="I193" i="5"/>
  <c r="J193" i="5"/>
  <c r="K193" i="5"/>
  <c r="L193" i="5"/>
  <c r="H193" i="6"/>
  <c r="I194" i="5"/>
  <c r="J194" i="5"/>
  <c r="K194" i="5"/>
  <c r="L194" i="5"/>
  <c r="H194" i="6"/>
  <c r="T100" i="24"/>
  <c r="V100" i="24"/>
  <c r="I177" i="5"/>
  <c r="J177" i="5"/>
  <c r="K177" i="5"/>
  <c r="L177" i="5"/>
  <c r="H177" i="6"/>
  <c r="I178" i="5"/>
  <c r="J178" i="5"/>
  <c r="K178" i="5"/>
  <c r="L178" i="5"/>
  <c r="H178" i="6"/>
  <c r="I186" i="5"/>
  <c r="J186" i="5"/>
  <c r="K186" i="5"/>
  <c r="L186" i="5"/>
  <c r="H186" i="6"/>
  <c r="I211" i="5"/>
  <c r="J211" i="5"/>
  <c r="K211" i="5"/>
  <c r="L211" i="5"/>
  <c r="H211" i="6"/>
  <c r="T163" i="24"/>
  <c r="V163" i="24"/>
  <c r="I212" i="5"/>
  <c r="J212" i="5"/>
  <c r="K212" i="5"/>
  <c r="L212" i="5"/>
  <c r="H212" i="6"/>
  <c r="I214" i="5"/>
  <c r="J214" i="5"/>
  <c r="K214" i="5"/>
  <c r="L214" i="5"/>
  <c r="H214" i="6"/>
  <c r="I215" i="5"/>
  <c r="J215" i="5"/>
  <c r="K215" i="5"/>
  <c r="L215" i="5"/>
  <c r="K21" i="25"/>
  <c r="K22" i="25"/>
  <c r="H21" i="25"/>
  <c r="H22" i="25"/>
  <c r="L280" i="6"/>
  <c r="T99" i="24"/>
  <c r="T77" i="24"/>
  <c r="V77" i="24"/>
  <c r="T85" i="24"/>
  <c r="V85" i="24"/>
  <c r="T42" i="24"/>
  <c r="V42" i="24"/>
  <c r="T167" i="24"/>
  <c r="V167" i="24"/>
  <c r="T153" i="24"/>
  <c r="V153" i="24"/>
  <c r="T151" i="24"/>
  <c r="V151" i="24"/>
  <c r="T147" i="24"/>
  <c r="V147" i="24"/>
  <c r="T143" i="24"/>
  <c r="V143" i="24"/>
  <c r="T137" i="24"/>
  <c r="V137" i="24"/>
  <c r="T134" i="24"/>
  <c r="V134" i="24"/>
  <c r="T131" i="24"/>
  <c r="V131" i="24"/>
  <c r="T92" i="24"/>
  <c r="V92" i="24"/>
  <c r="T75" i="24"/>
  <c r="V75" i="24"/>
  <c r="T122" i="24"/>
  <c r="V122" i="24"/>
  <c r="T107" i="24"/>
  <c r="V107" i="24"/>
  <c r="T104" i="24"/>
  <c r="V104" i="24"/>
  <c r="T164" i="24"/>
  <c r="V164" i="24"/>
  <c r="T144" i="24"/>
  <c r="V144" i="24"/>
  <c r="T140" i="24"/>
  <c r="V140" i="24"/>
  <c r="T133" i="24"/>
  <c r="V133" i="24"/>
  <c r="G170" i="5"/>
  <c r="F170" i="5"/>
  <c r="E170" i="5"/>
  <c r="H216" i="6"/>
  <c r="H213" i="6"/>
  <c r="H191" i="6"/>
  <c r="H176" i="6"/>
  <c r="H174" i="6"/>
  <c r="H126" i="6"/>
  <c r="H125" i="6"/>
  <c r="H124" i="6"/>
  <c r="H115" i="6"/>
  <c r="E195" i="6"/>
  <c r="E194" i="6"/>
  <c r="E193" i="6"/>
  <c r="E192" i="6"/>
  <c r="E191" i="6"/>
  <c r="E190" i="6"/>
  <c r="E189" i="6"/>
  <c r="E188" i="6"/>
  <c r="E187" i="6"/>
  <c r="E186" i="6"/>
  <c r="E185" i="6"/>
  <c r="E184" i="6"/>
  <c r="E183" i="6"/>
  <c r="E182" i="6"/>
  <c r="E181" i="6"/>
  <c r="E180" i="6"/>
  <c r="E179" i="6"/>
  <c r="E178" i="6"/>
  <c r="E177" i="6"/>
  <c r="E176" i="6"/>
  <c r="E175" i="6"/>
  <c r="E174" i="6"/>
  <c r="E173"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89" i="6"/>
  <c r="E87" i="6"/>
  <c r="E86" i="6"/>
  <c r="E85" i="6"/>
  <c r="E84" i="6"/>
  <c r="E83" i="6"/>
  <c r="E82" i="6"/>
  <c r="E81" i="6"/>
  <c r="E80" i="6"/>
  <c r="E79" i="6"/>
  <c r="E77" i="6"/>
  <c r="E76" i="6"/>
  <c r="E75" i="6"/>
  <c r="E74" i="6"/>
  <c r="E73" i="6"/>
  <c r="E72" i="6"/>
  <c r="E71" i="6"/>
  <c r="E70" i="6"/>
  <c r="E69" i="6"/>
  <c r="E68" i="6"/>
  <c r="E67" i="6"/>
  <c r="E66" i="6"/>
  <c r="E65" i="6"/>
  <c r="E64" i="6"/>
  <c r="E63" i="6"/>
  <c r="E62" i="6"/>
  <c r="E61" i="6"/>
  <c r="E60" i="6"/>
  <c r="E59" i="6"/>
  <c r="E58" i="6"/>
  <c r="E57" i="6"/>
  <c r="E56" i="6"/>
  <c r="E55" i="6"/>
  <c r="E54" i="6"/>
  <c r="E53" i="6"/>
  <c r="E52" i="6"/>
  <c r="E51" i="6"/>
  <c r="E49" i="6"/>
  <c r="E48" i="6"/>
  <c r="E47" i="6"/>
  <c r="E46" i="6"/>
  <c r="E45" i="6"/>
  <c r="E44" i="6"/>
  <c r="E43" i="6"/>
  <c r="E42" i="6"/>
  <c r="E41" i="6"/>
  <c r="E40" i="6"/>
  <c r="E39" i="6"/>
  <c r="E38" i="6"/>
  <c r="E37" i="6"/>
  <c r="E33" i="6"/>
  <c r="E32" i="6"/>
  <c r="E31" i="6"/>
  <c r="E30" i="6"/>
  <c r="E29" i="6"/>
  <c r="E28" i="6"/>
  <c r="E26" i="6"/>
  <c r="E25" i="6"/>
  <c r="E24" i="6"/>
  <c r="E23" i="6"/>
  <c r="E22" i="6"/>
  <c r="E21" i="6"/>
  <c r="E20" i="6"/>
  <c r="E19" i="6"/>
  <c r="E18" i="6"/>
  <c r="E17" i="6"/>
  <c r="J176" i="5"/>
  <c r="K176" i="5"/>
  <c r="L176" i="5"/>
  <c r="I176" i="5"/>
  <c r="J174" i="5"/>
  <c r="K174" i="5"/>
  <c r="L174" i="5"/>
  <c r="I174" i="5"/>
  <c r="I179" i="5"/>
  <c r="I180" i="5"/>
  <c r="I181" i="5"/>
  <c r="I182" i="5"/>
  <c r="I183" i="5"/>
  <c r="I184" i="5"/>
  <c r="I185" i="5"/>
  <c r="J179" i="5"/>
  <c r="K179" i="5"/>
  <c r="L179" i="5"/>
  <c r="J180" i="5"/>
  <c r="K180" i="5"/>
  <c r="L180" i="5"/>
  <c r="J181" i="5"/>
  <c r="K181" i="5"/>
  <c r="L181" i="5"/>
  <c r="J182" i="5"/>
  <c r="K182" i="5"/>
  <c r="L182" i="5"/>
  <c r="J183" i="5"/>
  <c r="K183" i="5"/>
  <c r="L183" i="5"/>
  <c r="J184" i="5"/>
  <c r="K184" i="5"/>
  <c r="L184" i="5"/>
  <c r="J185" i="5"/>
  <c r="K185" i="5"/>
  <c r="L185" i="5"/>
  <c r="J188" i="5"/>
  <c r="K188" i="5"/>
  <c r="L188" i="5"/>
  <c r="J191" i="5"/>
  <c r="K191" i="5"/>
  <c r="L191" i="5"/>
  <c r="J195" i="5"/>
  <c r="K195" i="5"/>
  <c r="L195" i="5"/>
  <c r="I188" i="5"/>
  <c r="I191" i="5"/>
  <c r="I195" i="5"/>
  <c r="J157" i="5"/>
  <c r="K157" i="5"/>
  <c r="L157" i="5"/>
  <c r="J162" i="5"/>
  <c r="K162" i="5"/>
  <c r="L162" i="5"/>
  <c r="I157" i="5"/>
  <c r="I162" i="5"/>
  <c r="I213" i="5"/>
  <c r="J213" i="5"/>
  <c r="K213" i="5"/>
  <c r="L213" i="5"/>
  <c r="I216" i="5"/>
  <c r="J216" i="5"/>
  <c r="K216" i="5"/>
  <c r="L216" i="5"/>
  <c r="I115" i="5"/>
  <c r="J115" i="5"/>
  <c r="K115" i="5"/>
  <c r="L115" i="5"/>
  <c r="I124" i="5"/>
  <c r="J124" i="5"/>
  <c r="K124" i="5"/>
  <c r="L124" i="5"/>
  <c r="I125" i="5"/>
  <c r="J125" i="5"/>
  <c r="K125" i="5"/>
  <c r="L125" i="5"/>
  <c r="I126" i="5"/>
  <c r="J126" i="5"/>
  <c r="K126" i="5"/>
  <c r="L126" i="5"/>
  <c r="E153" i="21"/>
  <c r="E155" i="21"/>
  <c r="E154" i="21"/>
  <c r="T170" i="24"/>
  <c r="V170" i="24"/>
  <c r="I164" i="14"/>
  <c r="E171" i="23"/>
  <c r="F171" i="23"/>
  <c r="G171" i="23"/>
  <c r="H171" i="23"/>
  <c r="I171" i="23"/>
  <c r="E140" i="21"/>
  <c r="G140" i="21"/>
  <c r="I112" i="14"/>
  <c r="I221" i="14"/>
  <c r="I223" i="14"/>
  <c r="I224" i="14"/>
  <c r="I208" i="14"/>
  <c r="E172" i="23"/>
  <c r="D172" i="23"/>
  <c r="I183" i="14"/>
  <c r="I202" i="14"/>
  <c r="I15" i="14"/>
  <c r="I23" i="14"/>
  <c r="I41" i="14"/>
  <c r="I196" i="14"/>
  <c r="I220" i="14"/>
  <c r="I176" i="14"/>
  <c r="I7" i="14"/>
  <c r="I74" i="14"/>
  <c r="I123" i="14"/>
  <c r="I195" i="14"/>
  <c r="I194" i="14"/>
  <c r="I190" i="14"/>
  <c r="I34" i="14"/>
  <c r="L208" i="5"/>
  <c r="L204" i="5"/>
  <c r="I90" i="14"/>
  <c r="I114" i="14"/>
  <c r="I107" i="14"/>
  <c r="I186" i="14"/>
  <c r="I87" i="14"/>
  <c r="I37" i="14"/>
  <c r="I45" i="14"/>
  <c r="I80" i="14"/>
  <c r="I88" i="14"/>
  <c r="I96" i="14"/>
  <c r="I104" i="14"/>
  <c r="I128" i="14"/>
  <c r="I172" i="14"/>
  <c r="I180" i="14"/>
  <c r="I225" i="14"/>
  <c r="I79" i="14"/>
  <c r="I38" i="14"/>
  <c r="I46" i="14"/>
  <c r="I98" i="14"/>
  <c r="I122" i="14"/>
  <c r="I131" i="14"/>
  <c r="I8" i="14"/>
  <c r="I75" i="14"/>
  <c r="I99" i="14"/>
  <c r="I92" i="14"/>
  <c r="I116" i="14"/>
  <c r="I10" i="14"/>
  <c r="I18" i="14"/>
  <c r="I42" i="14"/>
  <c r="I106" i="14"/>
  <c r="I118" i="14"/>
  <c r="I16" i="14"/>
  <c r="I83" i="14"/>
  <c r="I115" i="14"/>
  <c r="I177" i="14"/>
  <c r="I76" i="14"/>
  <c r="I100" i="14"/>
  <c r="I124" i="14"/>
  <c r="I178" i="14"/>
  <c r="I174" i="14"/>
  <c r="I103" i="14"/>
  <c r="I11" i="14"/>
  <c r="I19" i="14"/>
  <c r="I82" i="14"/>
  <c r="I130" i="14"/>
  <c r="D171" i="23"/>
  <c r="I24" i="14"/>
  <c r="I91" i="14"/>
  <c r="I84" i="14"/>
  <c r="I108" i="14"/>
  <c r="I132" i="14"/>
  <c r="I95" i="14"/>
  <c r="I12" i="14"/>
  <c r="I20" i="14"/>
  <c r="I36" i="14"/>
  <c r="I44" i="14"/>
  <c r="I119" i="14"/>
  <c r="I188" i="14"/>
  <c r="I102" i="14"/>
  <c r="I86" i="14"/>
  <c r="I181" i="14"/>
  <c r="I125" i="14"/>
  <c r="I105" i="14"/>
  <c r="I97" i="14"/>
  <c r="I89" i="14"/>
  <c r="I81" i="14"/>
  <c r="I43" i="14"/>
  <c r="I25" i="14"/>
  <c r="I17" i="14"/>
  <c r="I9" i="14"/>
  <c r="I109" i="14"/>
  <c r="I173" i="14"/>
  <c r="I222" i="14"/>
  <c r="I187" i="14"/>
  <c r="I113" i="14"/>
  <c r="I40" i="14"/>
  <c r="I22" i="14"/>
  <c r="I175" i="14"/>
  <c r="I129" i="14"/>
  <c r="I101" i="14"/>
  <c r="I77" i="14"/>
  <c r="I21" i="14"/>
  <c r="I182" i="14"/>
  <c r="I117" i="14"/>
  <c r="I185" i="14"/>
  <c r="I111" i="14"/>
  <c r="I94" i="14"/>
  <c r="I78" i="14"/>
  <c r="I120" i="14"/>
  <c r="I184" i="14"/>
  <c r="I110" i="14"/>
  <c r="I85" i="14"/>
  <c r="I39" i="14"/>
  <c r="I13" i="14"/>
  <c r="I127" i="14"/>
  <c r="I14" i="14"/>
  <c r="I121" i="14"/>
  <c r="I93" i="14"/>
  <c r="I126" i="14"/>
  <c r="K16" i="27"/>
  <c r="B22" i="25"/>
  <c r="D21" i="25"/>
  <c r="D20" i="25"/>
  <c r="J16" i="27"/>
  <c r="J18" i="27"/>
  <c r="H170" i="5"/>
  <c r="T152" i="24"/>
  <c r="V152" i="24"/>
  <c r="T101" i="24"/>
  <c r="V101" i="24"/>
  <c r="F170" i="23"/>
  <c r="G170" i="23"/>
  <c r="H170" i="23"/>
  <c r="I170" i="23"/>
  <c r="E139" i="21"/>
  <c r="G139" i="21"/>
  <c r="F39" i="1"/>
  <c r="T150" i="24"/>
  <c r="V150" i="24"/>
  <c r="T90" i="24"/>
  <c r="V90" i="24"/>
  <c r="T162" i="24"/>
  <c r="V162" i="24"/>
  <c r="T98" i="24"/>
  <c r="V98" i="24"/>
  <c r="T149" i="24"/>
  <c r="V149" i="24"/>
  <c r="T165" i="24"/>
  <c r="V165" i="24"/>
  <c r="T156" i="24"/>
  <c r="V156" i="24"/>
  <c r="T46" i="24"/>
  <c r="V46" i="24"/>
  <c r="T93" i="24"/>
  <c r="V93" i="24"/>
  <c r="T76" i="24"/>
  <c r="V76" i="24"/>
  <c r="T142" i="24"/>
  <c r="V142" i="24"/>
  <c r="T56" i="24"/>
  <c r="V56" i="24"/>
  <c r="T96" i="24"/>
  <c r="V96" i="24"/>
  <c r="F169" i="23"/>
  <c r="G169" i="23"/>
  <c r="H169" i="23"/>
  <c r="I169" i="23"/>
  <c r="E138" i="21"/>
  <c r="G138" i="21"/>
  <c r="F35" i="1"/>
  <c r="T88" i="24"/>
  <c r="V88" i="24"/>
  <c r="T83" i="24"/>
  <c r="V83" i="24"/>
  <c r="T82" i="24"/>
  <c r="V82" i="24"/>
  <c r="T58" i="24"/>
  <c r="V58" i="24"/>
  <c r="T19" i="24"/>
  <c r="V19" i="24"/>
  <c r="T16" i="24"/>
  <c r="V16" i="24"/>
  <c r="T148" i="24"/>
  <c r="V148" i="24"/>
  <c r="T64" i="24"/>
  <c r="V64" i="24"/>
  <c r="T91" i="24"/>
  <c r="V91" i="24"/>
  <c r="T80" i="24"/>
  <c r="V80" i="24"/>
  <c r="T132" i="24"/>
  <c r="V132" i="24"/>
  <c r="T53" i="24"/>
  <c r="V53" i="24"/>
  <c r="T27" i="24"/>
  <c r="V27" i="24"/>
  <c r="L147" i="5"/>
  <c r="L148" i="5"/>
  <c r="T89" i="24"/>
  <c r="V89" i="24"/>
  <c r="T84" i="24"/>
  <c r="V84" i="24"/>
  <c r="T81" i="24"/>
  <c r="V81" i="24"/>
  <c r="T79" i="24"/>
  <c r="V79" i="24"/>
  <c r="T69" i="24"/>
  <c r="V69" i="24"/>
  <c r="T36" i="24"/>
  <c r="V36" i="24"/>
  <c r="T35" i="24"/>
  <c r="V35" i="24"/>
  <c r="T32" i="24"/>
  <c r="V32" i="24"/>
  <c r="T50" i="24"/>
  <c r="V50" i="24"/>
  <c r="T125" i="24"/>
  <c r="V125" i="24"/>
  <c r="T113" i="24"/>
  <c r="V113" i="24"/>
  <c r="T30" i="24"/>
  <c r="V30" i="24"/>
  <c r="T25" i="24"/>
  <c r="V25" i="24"/>
  <c r="T24" i="24"/>
  <c r="V24" i="24"/>
  <c r="T34" i="24"/>
  <c r="V34" i="24"/>
  <c r="T135" i="24"/>
  <c r="V135" i="24"/>
  <c r="T145" i="24"/>
  <c r="V145" i="24"/>
  <c r="T26" i="24"/>
  <c r="V26" i="24"/>
  <c r="T44" i="24"/>
  <c r="V44" i="24"/>
  <c r="T54" i="24"/>
  <c r="V54" i="24"/>
  <c r="T49" i="24"/>
  <c r="V49" i="24"/>
  <c r="T41" i="24"/>
  <c r="V41" i="24"/>
  <c r="T23" i="24"/>
  <c r="V23" i="24"/>
  <c r="T158" i="24"/>
  <c r="V158" i="24"/>
  <c r="T157" i="24"/>
  <c r="V157" i="24"/>
  <c r="T141" i="24"/>
  <c r="V141" i="24"/>
  <c r="T146" i="24"/>
  <c r="V146" i="24"/>
  <c r="T139" i="24"/>
  <c r="V139" i="24"/>
  <c r="T63" i="24"/>
  <c r="V63" i="24"/>
  <c r="T57" i="24"/>
  <c r="V57" i="24"/>
  <c r="T55" i="24"/>
  <c r="V55" i="24"/>
  <c r="T40" i="24"/>
  <c r="V40" i="24"/>
  <c r="T45" i="24"/>
  <c r="V45" i="24"/>
  <c r="T73" i="24"/>
  <c r="V73" i="24"/>
  <c r="T71" i="24"/>
  <c r="V71" i="24"/>
  <c r="T68" i="24"/>
  <c r="V68" i="24"/>
  <c r="T116" i="24"/>
  <c r="V116" i="24"/>
  <c r="T119" i="24"/>
  <c r="V119" i="24"/>
  <c r="T110" i="24"/>
  <c r="V110" i="24"/>
  <c r="T21" i="24"/>
  <c r="V21" i="24"/>
  <c r="T48" i="24"/>
  <c r="V48" i="24"/>
  <c r="T39" i="24"/>
  <c r="V39" i="24"/>
  <c r="T33" i="24"/>
  <c r="V33" i="24"/>
  <c r="T18" i="24"/>
  <c r="V18" i="24"/>
  <c r="T17" i="24"/>
  <c r="V17" i="24"/>
  <c r="T154" i="24"/>
  <c r="V154" i="24"/>
  <c r="T136" i="24"/>
  <c r="V136" i="24"/>
  <c r="T138" i="24"/>
  <c r="V138" i="24"/>
  <c r="T47" i="24"/>
  <c r="V47" i="24"/>
  <c r="T22" i="24"/>
  <c r="V22" i="24"/>
  <c r="T31" i="24"/>
  <c r="V31" i="24"/>
  <c r="F172" i="23"/>
  <c r="G172" i="23"/>
  <c r="H172" i="23"/>
  <c r="I172" i="23"/>
  <c r="E141" i="21"/>
  <c r="G141" i="21"/>
  <c r="K18" i="27"/>
  <c r="F37" i="1"/>
  <c r="G31" i="28"/>
  <c r="H31" i="28"/>
  <c r="I31" i="28"/>
  <c r="J31" i="28"/>
  <c r="G25" i="28"/>
  <c r="H25" i="28"/>
  <c r="I25" i="28"/>
  <c r="J25" i="28"/>
  <c r="G15" i="28"/>
  <c r="H15" i="28"/>
  <c r="I15" i="28"/>
  <c r="J15" i="28"/>
  <c r="E160" i="23"/>
  <c r="F160" i="23"/>
  <c r="E150" i="23"/>
  <c r="F150" i="23"/>
  <c r="D162" i="23"/>
  <c r="D152" i="23"/>
  <c r="D151" i="23"/>
  <c r="D157" i="23"/>
  <c r="G18" i="28"/>
  <c r="H18" i="28"/>
  <c r="I18" i="28"/>
  <c r="J18" i="28"/>
  <c r="D165" i="23"/>
  <c r="E164" i="23"/>
  <c r="F164" i="23"/>
  <c r="G16" i="28"/>
  <c r="H16" i="28"/>
  <c r="I16" i="28"/>
  <c r="J16" i="28"/>
  <c r="D163" i="23"/>
  <c r="G24" i="28"/>
  <c r="H24" i="28"/>
  <c r="I24" i="28"/>
  <c r="J24" i="28"/>
  <c r="G12" i="28"/>
  <c r="H12" i="28"/>
  <c r="I12" i="28"/>
  <c r="J12" i="28"/>
  <c r="E159" i="23"/>
  <c r="F159" i="23"/>
  <c r="E149" i="23"/>
  <c r="F149" i="23"/>
  <c r="D160" i="23"/>
  <c r="E153" i="23"/>
  <c r="F153" i="23"/>
  <c r="E152" i="23"/>
  <c r="F152" i="23"/>
  <c r="G26" i="28"/>
  <c r="H26" i="28"/>
  <c r="I26" i="28"/>
  <c r="J26" i="28"/>
  <c r="E151" i="23"/>
  <c r="F151" i="23"/>
  <c r="G23" i="28"/>
  <c r="H23" i="28"/>
  <c r="I23" i="28"/>
  <c r="J23" i="28"/>
  <c r="G11" i="28"/>
  <c r="H11" i="28"/>
  <c r="I11" i="28"/>
  <c r="J11" i="28"/>
  <c r="E168" i="23"/>
  <c r="F168" i="23"/>
  <c r="E158" i="23"/>
  <c r="F158" i="23"/>
  <c r="E148" i="23"/>
  <c r="F148" i="23"/>
  <c r="D159" i="23"/>
  <c r="D150" i="23"/>
  <c r="D147" i="23"/>
  <c r="G17" i="28"/>
  <c r="H17" i="28"/>
  <c r="I17" i="28"/>
  <c r="J17" i="28"/>
  <c r="D164" i="23"/>
  <c r="D154" i="23"/>
  <c r="G20" i="28"/>
  <c r="H20" i="28"/>
  <c r="I20" i="28"/>
  <c r="J20" i="28"/>
  <c r="G10" i="28"/>
  <c r="H10" i="28"/>
  <c r="I10" i="28"/>
  <c r="J10" i="28"/>
  <c r="E167" i="23"/>
  <c r="F167" i="23"/>
  <c r="E157" i="23"/>
  <c r="F157" i="23"/>
  <c r="D167" i="23"/>
  <c r="D158" i="23"/>
  <c r="D149" i="23"/>
  <c r="G19" i="28"/>
  <c r="H19" i="28"/>
  <c r="I19" i="28"/>
  <c r="J19" i="28"/>
  <c r="E166" i="23"/>
  <c r="F166" i="23"/>
  <c r="E156" i="23"/>
  <c r="F156" i="23"/>
  <c r="D166" i="23"/>
  <c r="D148" i="23"/>
  <c r="G28" i="28"/>
  <c r="H28" i="28"/>
  <c r="I28" i="28"/>
  <c r="J28" i="28"/>
  <c r="E165" i="23"/>
  <c r="F165" i="23"/>
  <c r="D156" i="23"/>
  <c r="G27" i="28"/>
  <c r="H27" i="28"/>
  <c r="I27" i="28"/>
  <c r="J27" i="28"/>
  <c r="D155" i="23"/>
  <c r="E161" i="23"/>
  <c r="F161" i="23"/>
  <c r="E154" i="23"/>
  <c r="F154" i="23"/>
  <c r="E155" i="23"/>
  <c r="F155" i="23"/>
  <c r="E162" i="23"/>
  <c r="F162" i="23"/>
  <c r="E163" i="23"/>
  <c r="F163" i="23"/>
  <c r="G13" i="28"/>
  <c r="H13" i="28"/>
  <c r="I13" i="28"/>
  <c r="J13" i="28"/>
  <c r="G14" i="28"/>
  <c r="H14" i="28"/>
  <c r="I14" i="28"/>
  <c r="J14" i="28"/>
  <c r="G21" i="28"/>
  <c r="H21" i="28"/>
  <c r="I21" i="28"/>
  <c r="J21" i="28"/>
  <c r="G22" i="28"/>
  <c r="H22" i="28"/>
  <c r="I22" i="28"/>
  <c r="J22" i="28"/>
  <c r="G29" i="28"/>
  <c r="H29" i="28"/>
  <c r="I29" i="28"/>
  <c r="J29" i="28"/>
  <c r="G30" i="28"/>
  <c r="H30" i="28"/>
  <c r="I30" i="28"/>
  <c r="J30" i="28"/>
  <c r="D153" i="23"/>
  <c r="D161" i="23"/>
  <c r="D168" i="23"/>
  <c r="E147" i="23"/>
  <c r="F147" i="23"/>
  <c r="G37" i="28"/>
  <c r="H37" i="28"/>
  <c r="I37" i="28"/>
  <c r="J37" i="28"/>
  <c r="G38" i="28"/>
  <c r="H38" i="28"/>
  <c r="I38" i="28"/>
  <c r="J38" i="28"/>
  <c r="G34" i="28"/>
  <c r="H34" i="28"/>
  <c r="I34" i="28"/>
  <c r="J34" i="28"/>
  <c r="G33" i="28"/>
  <c r="H33" i="28"/>
  <c r="I33" i="28"/>
  <c r="J33" i="28"/>
  <c r="G36" i="28"/>
  <c r="H36" i="28"/>
  <c r="I36" i="28"/>
  <c r="J36" i="28"/>
  <c r="G35" i="28"/>
  <c r="H35" i="28"/>
  <c r="I35" i="28"/>
  <c r="J35" i="28"/>
  <c r="E208" i="23"/>
  <c r="F208" i="23"/>
  <c r="D209" i="23"/>
  <c r="D205" i="23"/>
  <c r="E209" i="23"/>
  <c r="F209" i="23"/>
  <c r="E205" i="23"/>
  <c r="F205" i="23"/>
  <c r="D204" i="23"/>
  <c r="E197" i="23"/>
  <c r="F197" i="23"/>
  <c r="G32" i="28"/>
  <c r="H32" i="28"/>
  <c r="I32" i="28"/>
  <c r="J32" i="28"/>
  <c r="D207" i="23"/>
  <c r="D197" i="23"/>
  <c r="E207" i="23"/>
  <c r="F207" i="23"/>
  <c r="D206" i="23"/>
  <c r="D208" i="23"/>
  <c r="E206" i="23"/>
  <c r="F206" i="23"/>
  <c r="E204" i="23"/>
  <c r="F204" i="23"/>
  <c r="E202" i="23"/>
  <c r="F202" i="23"/>
  <c r="E201" i="23"/>
  <c r="F201" i="23"/>
  <c r="D201" i="23"/>
  <c r="E200" i="23"/>
  <c r="F200" i="23"/>
  <c r="G200" i="23"/>
  <c r="H200" i="23"/>
  <c r="I200" i="23"/>
  <c r="E183" i="21"/>
  <c r="E198" i="23"/>
  <c r="F198" i="23"/>
  <c r="E178" i="21"/>
  <c r="D200" i="23"/>
  <c r="D199" i="23"/>
  <c r="E199" i="23"/>
  <c r="F199" i="23"/>
  <c r="G199" i="23"/>
  <c r="H199" i="23"/>
  <c r="I199" i="23"/>
  <c r="E182" i="21"/>
  <c r="D198" i="23"/>
  <c r="D202" i="23"/>
  <c r="E203" i="23"/>
  <c r="F203" i="23"/>
  <c r="D203" i="23"/>
  <c r="E179" i="21"/>
  <c r="G179" i="21"/>
  <c r="N32" i="28"/>
  <c r="L32" i="28"/>
  <c r="M32" i="28"/>
  <c r="M17" i="28"/>
  <c r="L17" i="28"/>
  <c r="N17" i="28"/>
  <c r="L23" i="28"/>
  <c r="N23" i="28"/>
  <c r="M23" i="28"/>
  <c r="N12" i="28"/>
  <c r="M12" i="28"/>
  <c r="L12" i="28"/>
  <c r="M36" i="28"/>
  <c r="L36" i="28"/>
  <c r="N36" i="28"/>
  <c r="N28" i="28"/>
  <c r="L28" i="28"/>
  <c r="M28" i="28"/>
  <c r="M24" i="28"/>
  <c r="L24" i="28"/>
  <c r="N24" i="28"/>
  <c r="E181" i="21"/>
  <c r="E180" i="21"/>
  <c r="M33" i="28"/>
  <c r="L33" i="28"/>
  <c r="N33" i="28"/>
  <c r="N30" i="28"/>
  <c r="L30" i="28"/>
  <c r="M30" i="28"/>
  <c r="L26" i="28"/>
  <c r="M26" i="28"/>
  <c r="N26" i="28"/>
  <c r="M29" i="28"/>
  <c r="L29" i="28"/>
  <c r="N29" i="28"/>
  <c r="N16" i="28"/>
  <c r="L16" i="28"/>
  <c r="M16" i="28"/>
  <c r="M22" i="28"/>
  <c r="N22" i="28"/>
  <c r="L22" i="28"/>
  <c r="E186" i="21"/>
  <c r="G186" i="21"/>
  <c r="E184" i="21"/>
  <c r="G184" i="21"/>
  <c r="E187" i="21"/>
  <c r="E185" i="21"/>
  <c r="G185" i="21"/>
  <c r="E188" i="21"/>
  <c r="L37" i="28"/>
  <c r="N37" i="28"/>
  <c r="M37" i="28"/>
  <c r="N21" i="28"/>
  <c r="M21" i="28"/>
  <c r="L21" i="28"/>
  <c r="M20" i="28"/>
  <c r="N20" i="28"/>
  <c r="L20" i="28"/>
  <c r="M15" i="28"/>
  <c r="N15" i="28"/>
  <c r="L15" i="28"/>
  <c r="E196" i="21"/>
  <c r="G196" i="21"/>
  <c r="E197" i="21"/>
  <c r="G197" i="21"/>
  <c r="E195" i="21"/>
  <c r="G195" i="21"/>
  <c r="E194" i="21"/>
  <c r="G194" i="21"/>
  <c r="E198" i="21"/>
  <c r="G198" i="21"/>
  <c r="L38" i="28"/>
  <c r="M38" i="28"/>
  <c r="N38" i="28"/>
  <c r="E193" i="21"/>
  <c r="E189" i="21"/>
  <c r="G189" i="21"/>
  <c r="E191" i="21"/>
  <c r="G191" i="21"/>
  <c r="E192" i="21"/>
  <c r="E190" i="21"/>
  <c r="G190" i="21"/>
  <c r="M27" i="28"/>
  <c r="L27" i="28"/>
  <c r="N27" i="28"/>
  <c r="N19" i="28"/>
  <c r="L19" i="28"/>
  <c r="M19" i="28"/>
  <c r="N18" i="28"/>
  <c r="M18" i="28"/>
  <c r="L18" i="28"/>
  <c r="M25" i="28"/>
  <c r="L25" i="28"/>
  <c r="N25" i="28"/>
  <c r="L35" i="28"/>
  <c r="N35" i="28"/>
  <c r="M35" i="28"/>
  <c r="N34" i="28"/>
  <c r="M34" i="28"/>
  <c r="L34" i="28"/>
  <c r="M10" i="28"/>
  <c r="L10" i="28"/>
  <c r="N10" i="28"/>
  <c r="L14" i="28"/>
  <c r="M14" i="28"/>
  <c r="N14" i="28"/>
  <c r="D34" i="23"/>
  <c r="D33" i="23"/>
  <c r="D35" i="23"/>
  <c r="E29" i="23"/>
  <c r="F29" i="23"/>
  <c r="G29" i="23"/>
  <c r="H29" i="23"/>
  <c r="I29" i="23"/>
  <c r="E27" i="21"/>
  <c r="G27" i="21"/>
  <c r="E33" i="23"/>
  <c r="F33" i="23"/>
  <c r="G33" i="23"/>
  <c r="H33" i="23"/>
  <c r="I33" i="23"/>
  <c r="E31" i="21"/>
  <c r="G31" i="21"/>
  <c r="E31" i="23"/>
  <c r="F31" i="23"/>
  <c r="G31" i="23"/>
  <c r="H31" i="23"/>
  <c r="I31" i="23"/>
  <c r="E29" i="21"/>
  <c r="G29" i="21"/>
  <c r="D31" i="23"/>
  <c r="D32" i="23"/>
  <c r="E35" i="23"/>
  <c r="F35" i="23"/>
  <c r="G35" i="23"/>
  <c r="H35" i="23"/>
  <c r="I35" i="23"/>
  <c r="E33" i="21"/>
  <c r="G33" i="21"/>
  <c r="D28" i="23"/>
  <c r="E30" i="23"/>
  <c r="F30" i="23"/>
  <c r="G30" i="23"/>
  <c r="H30" i="23"/>
  <c r="I30" i="23"/>
  <c r="E28" i="21"/>
  <c r="G28" i="21"/>
  <c r="E34" i="23"/>
  <c r="F34" i="23"/>
  <c r="G34" i="23"/>
  <c r="H34" i="23"/>
  <c r="I34" i="23"/>
  <c r="E32" i="21"/>
  <c r="G32" i="21"/>
  <c r="D30" i="23"/>
  <c r="E32" i="23"/>
  <c r="F32" i="23"/>
  <c r="G32" i="23"/>
  <c r="H32" i="23"/>
  <c r="I32" i="23"/>
  <c r="E30" i="21"/>
  <c r="G30" i="21"/>
  <c r="E28" i="23"/>
  <c r="F28" i="23"/>
  <c r="G28" i="23"/>
  <c r="H28" i="23"/>
  <c r="I28" i="23"/>
  <c r="E26" i="21"/>
  <c r="G26" i="21"/>
  <c r="D29" i="23"/>
  <c r="G4" i="28"/>
  <c r="H4" i="28"/>
  <c r="I4" i="28"/>
  <c r="J4" i="28"/>
  <c r="G5" i="28"/>
  <c r="H5" i="28"/>
  <c r="I5" i="28"/>
  <c r="J5" i="28"/>
  <c r="G3" i="28"/>
  <c r="G8" i="28"/>
  <c r="H8" i="28"/>
  <c r="I8" i="28"/>
  <c r="J8" i="28"/>
  <c r="G6" i="28"/>
  <c r="H6" i="28"/>
  <c r="I6" i="28"/>
  <c r="J6" i="28"/>
  <c r="G9" i="28"/>
  <c r="H9" i="28"/>
  <c r="I9" i="28"/>
  <c r="J9" i="28"/>
  <c r="G7" i="28"/>
  <c r="H7" i="28"/>
  <c r="I7" i="28"/>
  <c r="J7" i="28"/>
  <c r="E32" i="1"/>
  <c r="E31" i="1"/>
  <c r="E146" i="23"/>
  <c r="F146" i="23"/>
  <c r="D146" i="23"/>
  <c r="E141" i="23"/>
  <c r="F141" i="23"/>
  <c r="E140" i="23"/>
  <c r="F140" i="23"/>
  <c r="E142" i="23"/>
  <c r="F142" i="23"/>
  <c r="D141" i="23"/>
  <c r="E143" i="23"/>
  <c r="F143" i="23"/>
  <c r="E145" i="23"/>
  <c r="F145" i="23"/>
  <c r="E144" i="23"/>
  <c r="F144" i="23"/>
  <c r="D143" i="23"/>
  <c r="D145" i="23"/>
  <c r="D144" i="23"/>
  <c r="D140" i="23"/>
  <c r="D142" i="23"/>
  <c r="N13" i="28"/>
  <c r="L13" i="28"/>
  <c r="M13" i="28"/>
  <c r="L11" i="28"/>
  <c r="N11" i="28"/>
  <c r="M11" i="28"/>
  <c r="M31" i="28"/>
  <c r="L31" i="28"/>
  <c r="N31" i="28"/>
  <c r="D80" i="23"/>
  <c r="D85" i="23"/>
  <c r="D104" i="23"/>
  <c r="E122" i="23"/>
  <c r="F122" i="23"/>
  <c r="G122" i="23"/>
  <c r="H122" i="23"/>
  <c r="I122" i="23"/>
  <c r="E116" i="21"/>
  <c r="G116" i="21"/>
  <c r="D84" i="23"/>
  <c r="D86" i="23"/>
  <c r="E120" i="23"/>
  <c r="F120" i="23"/>
  <c r="G120" i="23"/>
  <c r="H120" i="23"/>
  <c r="I120" i="23"/>
  <c r="E114" i="21"/>
  <c r="G114" i="21"/>
  <c r="D125" i="23"/>
  <c r="D121" i="23"/>
  <c r="E98" i="23"/>
  <c r="F98" i="23"/>
  <c r="G98" i="23"/>
  <c r="H98" i="23"/>
  <c r="I98" i="23"/>
  <c r="E92" i="21"/>
  <c r="G92" i="21"/>
  <c r="E121" i="23"/>
  <c r="F121" i="23"/>
  <c r="G121" i="23"/>
  <c r="H121" i="23"/>
  <c r="I121" i="23"/>
  <c r="E115" i="21"/>
  <c r="G115" i="21"/>
  <c r="E82" i="23"/>
  <c r="F82" i="23"/>
  <c r="G82" i="23"/>
  <c r="H82" i="23"/>
  <c r="I82" i="23"/>
  <c r="E77" i="21"/>
  <c r="G77" i="21"/>
  <c r="D95" i="23"/>
  <c r="D101" i="23"/>
  <c r="D120" i="23"/>
  <c r="E90" i="23"/>
  <c r="F90" i="23"/>
  <c r="G90" i="23"/>
  <c r="H90" i="23"/>
  <c r="I90" i="23"/>
  <c r="E84" i="21"/>
  <c r="G84" i="21"/>
  <c r="D118" i="23"/>
  <c r="E109" i="23"/>
  <c r="F109" i="23"/>
  <c r="G109" i="23"/>
  <c r="H109" i="23"/>
  <c r="I109" i="23"/>
  <c r="E103" i="21"/>
  <c r="G103" i="21"/>
  <c r="D83" i="23"/>
  <c r="E123" i="23"/>
  <c r="F123" i="23"/>
  <c r="G123" i="23"/>
  <c r="H123" i="23"/>
  <c r="I123" i="23"/>
  <c r="E117" i="21"/>
  <c r="G117" i="21"/>
  <c r="E117" i="23"/>
  <c r="F117" i="23"/>
  <c r="G117" i="23"/>
  <c r="H117" i="23"/>
  <c r="I117" i="23"/>
  <c r="E111" i="21"/>
  <c r="G111" i="21"/>
  <c r="D81" i="23"/>
  <c r="E79" i="23"/>
  <c r="F79" i="23"/>
  <c r="G79" i="23"/>
  <c r="H79" i="23"/>
  <c r="I79" i="23"/>
  <c r="E74" i="21"/>
  <c r="G74" i="21"/>
  <c r="D93" i="23"/>
  <c r="D92" i="23"/>
  <c r="D116" i="23"/>
  <c r="E133" i="23"/>
  <c r="F133" i="23"/>
  <c r="G133" i="23"/>
  <c r="H133" i="23"/>
  <c r="I133" i="23"/>
  <c r="E127" i="21"/>
  <c r="G127" i="21"/>
  <c r="E111" i="23"/>
  <c r="F111" i="23"/>
  <c r="G111" i="23"/>
  <c r="H111" i="23"/>
  <c r="I111" i="23"/>
  <c r="E105" i="21"/>
  <c r="G105" i="21"/>
  <c r="E86" i="23"/>
  <c r="F86" i="23"/>
  <c r="G86" i="23"/>
  <c r="H86" i="23"/>
  <c r="I86" i="23"/>
  <c r="E81" i="21"/>
  <c r="G81" i="21"/>
  <c r="E94" i="23"/>
  <c r="F94" i="23"/>
  <c r="G94" i="23"/>
  <c r="H94" i="23"/>
  <c r="I94" i="23"/>
  <c r="E88" i="21"/>
  <c r="G88" i="21"/>
  <c r="E101" i="23"/>
  <c r="F101" i="23"/>
  <c r="G101" i="23"/>
  <c r="H101" i="23"/>
  <c r="I101" i="23"/>
  <c r="E95" i="21"/>
  <c r="G95" i="21"/>
  <c r="D135" i="23"/>
  <c r="E84" i="23"/>
  <c r="F84" i="23"/>
  <c r="G84" i="23"/>
  <c r="H84" i="23"/>
  <c r="I84" i="23"/>
  <c r="E79" i="21"/>
  <c r="G79" i="21"/>
  <c r="E132" i="23"/>
  <c r="F132" i="23"/>
  <c r="G132" i="23"/>
  <c r="H132" i="23"/>
  <c r="I132" i="23"/>
  <c r="E126" i="21"/>
  <c r="G126" i="21"/>
  <c r="E95" i="23"/>
  <c r="F95" i="23"/>
  <c r="G95" i="23"/>
  <c r="H95" i="23"/>
  <c r="I95" i="23"/>
  <c r="E89" i="21"/>
  <c r="G89" i="21"/>
  <c r="E85" i="23"/>
  <c r="F85" i="23"/>
  <c r="G85" i="23"/>
  <c r="H85" i="23"/>
  <c r="I85" i="23"/>
  <c r="E80" i="21"/>
  <c r="G80" i="21"/>
  <c r="E97" i="23"/>
  <c r="F97" i="23"/>
  <c r="G97" i="23"/>
  <c r="H97" i="23"/>
  <c r="I97" i="23"/>
  <c r="E91" i="21"/>
  <c r="G91" i="21"/>
  <c r="E81" i="23"/>
  <c r="F81" i="23"/>
  <c r="G81" i="23"/>
  <c r="H81" i="23"/>
  <c r="I81" i="23"/>
  <c r="E76" i="21"/>
  <c r="G76" i="21"/>
  <c r="D96" i="23"/>
  <c r="E128" i="23"/>
  <c r="F128" i="23"/>
  <c r="G128" i="23"/>
  <c r="H128" i="23"/>
  <c r="I128" i="23"/>
  <c r="E122" i="21"/>
  <c r="G122" i="21"/>
  <c r="D87" i="23"/>
  <c r="D132" i="23"/>
  <c r="D103" i="23"/>
  <c r="E135" i="23"/>
  <c r="F135" i="23"/>
  <c r="G135" i="23"/>
  <c r="H135" i="23"/>
  <c r="I135" i="23"/>
  <c r="E129" i="21"/>
  <c r="G129" i="21"/>
  <c r="D115" i="23"/>
  <c r="E138" i="23"/>
  <c r="F138" i="23"/>
  <c r="G138" i="23"/>
  <c r="H138" i="23"/>
  <c r="I138" i="23"/>
  <c r="E132" i="21"/>
  <c r="G132" i="21"/>
  <c r="D89" i="23"/>
  <c r="D126" i="23"/>
  <c r="D82" i="23"/>
  <c r="D110" i="23"/>
  <c r="D129" i="23"/>
  <c r="E129" i="23"/>
  <c r="F129" i="23"/>
  <c r="G129" i="23"/>
  <c r="H129" i="23"/>
  <c r="I129" i="23"/>
  <c r="E123" i="21"/>
  <c r="G123" i="21"/>
  <c r="D97" i="23"/>
  <c r="D107" i="23"/>
  <c r="D91" i="23"/>
  <c r="D138" i="23"/>
  <c r="E126" i="23"/>
  <c r="F126" i="23"/>
  <c r="G126" i="23"/>
  <c r="H126" i="23"/>
  <c r="I126" i="23"/>
  <c r="E120" i="21"/>
  <c r="E134" i="23"/>
  <c r="F134" i="23"/>
  <c r="G134" i="23"/>
  <c r="H134" i="23"/>
  <c r="I134" i="23"/>
  <c r="E128" i="21"/>
  <c r="G128" i="21"/>
  <c r="D112" i="23"/>
  <c r="D109" i="23"/>
  <c r="E106" i="23"/>
  <c r="F106" i="23"/>
  <c r="G106" i="23"/>
  <c r="H106" i="23"/>
  <c r="I106" i="23"/>
  <c r="E100" i="21"/>
  <c r="G100" i="21"/>
  <c r="D99" i="23"/>
  <c r="D108" i="23"/>
  <c r="D123" i="23"/>
  <c r="D90" i="23"/>
  <c r="D134" i="23"/>
  <c r="E83" i="23"/>
  <c r="F83" i="23"/>
  <c r="G83" i="23"/>
  <c r="H83" i="23"/>
  <c r="I83" i="23"/>
  <c r="E78" i="21"/>
  <c r="G78" i="21"/>
  <c r="E125" i="23"/>
  <c r="F125" i="23"/>
  <c r="G125" i="23"/>
  <c r="H125" i="23"/>
  <c r="I125" i="23"/>
  <c r="E119" i="21"/>
  <c r="E100" i="23"/>
  <c r="F100" i="23"/>
  <c r="G100" i="23"/>
  <c r="H100" i="23"/>
  <c r="I100" i="23"/>
  <c r="E94" i="21"/>
  <c r="G94" i="21"/>
  <c r="E108" i="23"/>
  <c r="F108" i="23"/>
  <c r="G108" i="23"/>
  <c r="H108" i="23"/>
  <c r="I108" i="23"/>
  <c r="E102" i="21"/>
  <c r="G102" i="21"/>
  <c r="D133" i="23"/>
  <c r="E130" i="23"/>
  <c r="F130" i="23"/>
  <c r="G130" i="23"/>
  <c r="H130" i="23"/>
  <c r="I130" i="23"/>
  <c r="E124" i="21"/>
  <c r="G124" i="21"/>
  <c r="E87" i="23"/>
  <c r="F87" i="23"/>
  <c r="G87" i="23"/>
  <c r="H87" i="23"/>
  <c r="I87" i="23"/>
  <c r="E82" i="21"/>
  <c r="G82" i="21"/>
  <c r="E137" i="23"/>
  <c r="F137" i="23"/>
  <c r="G137" i="23"/>
  <c r="H137" i="23"/>
  <c r="I137" i="23"/>
  <c r="E131" i="21"/>
  <c r="G131" i="21"/>
  <c r="E91" i="23"/>
  <c r="F91" i="23"/>
  <c r="G91" i="23"/>
  <c r="H91" i="23"/>
  <c r="I91" i="23"/>
  <c r="E85" i="21"/>
  <c r="G85" i="21"/>
  <c r="D111" i="23"/>
  <c r="E102" i="23"/>
  <c r="F102" i="23"/>
  <c r="G102" i="23"/>
  <c r="H102" i="23"/>
  <c r="I102" i="23"/>
  <c r="E96" i="21"/>
  <c r="G96" i="21"/>
  <c r="D79" i="23"/>
  <c r="D98" i="23"/>
  <c r="E80" i="23"/>
  <c r="F80" i="23"/>
  <c r="G80" i="23"/>
  <c r="H80" i="23"/>
  <c r="I80" i="23"/>
  <c r="E75" i="21"/>
  <c r="G75" i="21"/>
  <c r="E105" i="23"/>
  <c r="F105" i="23"/>
  <c r="G105" i="23"/>
  <c r="H105" i="23"/>
  <c r="I105" i="23"/>
  <c r="E99" i="21"/>
  <c r="G99" i="21"/>
  <c r="D105" i="23"/>
  <c r="E136" i="23"/>
  <c r="F136" i="23"/>
  <c r="G136" i="23"/>
  <c r="H136" i="23"/>
  <c r="I136" i="23"/>
  <c r="E130" i="21"/>
  <c r="G130" i="21"/>
  <c r="E127" i="23"/>
  <c r="F127" i="23"/>
  <c r="G127" i="23"/>
  <c r="H127" i="23"/>
  <c r="I127" i="23"/>
  <c r="E121" i="21"/>
  <c r="G121" i="21"/>
  <c r="D114" i="23"/>
  <c r="E89" i="23"/>
  <c r="F89" i="23"/>
  <c r="G89" i="23"/>
  <c r="H89" i="23"/>
  <c r="I89" i="23"/>
  <c r="E83" i="21"/>
  <c r="G83" i="21"/>
  <c r="D127" i="23"/>
  <c r="E103" i="23"/>
  <c r="F103" i="23"/>
  <c r="G103" i="23"/>
  <c r="H103" i="23"/>
  <c r="I103" i="23"/>
  <c r="E97" i="21"/>
  <c r="G97" i="21"/>
  <c r="D102" i="23"/>
  <c r="D124" i="23"/>
  <c r="D100" i="23"/>
  <c r="E107" i="23"/>
  <c r="F107" i="23"/>
  <c r="G107" i="23"/>
  <c r="H107" i="23"/>
  <c r="I107" i="23"/>
  <c r="E101" i="21"/>
  <c r="G101" i="21"/>
  <c r="D94" i="23"/>
  <c r="E124" i="23"/>
  <c r="F124" i="23"/>
  <c r="G124" i="23"/>
  <c r="H124" i="23"/>
  <c r="I124" i="23"/>
  <c r="E118" i="21"/>
  <c r="E96" i="23"/>
  <c r="F96" i="23"/>
  <c r="G96" i="23"/>
  <c r="H96" i="23"/>
  <c r="I96" i="23"/>
  <c r="E90" i="21"/>
  <c r="G90" i="21"/>
  <c r="D130" i="23"/>
  <c r="D122" i="23"/>
  <c r="D137" i="23"/>
  <c r="E119" i="23"/>
  <c r="F119" i="23"/>
  <c r="G119" i="23"/>
  <c r="H119" i="23"/>
  <c r="I119" i="23"/>
  <c r="E113" i="21"/>
  <c r="G113" i="21"/>
  <c r="E115" i="23"/>
  <c r="F115" i="23"/>
  <c r="G115" i="23"/>
  <c r="H115" i="23"/>
  <c r="I115" i="23"/>
  <c r="E109" i="21"/>
  <c r="E93" i="23"/>
  <c r="F93" i="23"/>
  <c r="G93" i="23"/>
  <c r="H93" i="23"/>
  <c r="I93" i="23"/>
  <c r="E87" i="21"/>
  <c r="G87" i="21"/>
  <c r="D119" i="23"/>
  <c r="E116" i="23"/>
  <c r="F116" i="23"/>
  <c r="G116" i="23"/>
  <c r="H116" i="23"/>
  <c r="I116" i="23"/>
  <c r="E110" i="21"/>
  <c r="G110" i="21"/>
  <c r="D113" i="23"/>
  <c r="E104" i="23"/>
  <c r="F104" i="23"/>
  <c r="G104" i="23"/>
  <c r="H104" i="23"/>
  <c r="I104" i="23"/>
  <c r="E98" i="21"/>
  <c r="G98" i="21"/>
  <c r="E110" i="23"/>
  <c r="F110" i="23"/>
  <c r="G110" i="23"/>
  <c r="H110" i="23"/>
  <c r="I110" i="23"/>
  <c r="E104" i="21"/>
  <c r="G104" i="21"/>
  <c r="E92" i="23"/>
  <c r="F92" i="23"/>
  <c r="G92" i="23"/>
  <c r="H92" i="23"/>
  <c r="I92" i="23"/>
  <c r="E86" i="21"/>
  <c r="G86" i="21"/>
  <c r="D106" i="23"/>
  <c r="E118" i="23"/>
  <c r="F118" i="23"/>
  <c r="G118" i="23"/>
  <c r="H118" i="23"/>
  <c r="I118" i="23"/>
  <c r="E112" i="21"/>
  <c r="G112" i="21"/>
  <c r="E112" i="23"/>
  <c r="F112" i="23"/>
  <c r="G112" i="23"/>
  <c r="H112" i="23"/>
  <c r="I112" i="23"/>
  <c r="E106" i="21"/>
  <c r="G106" i="21"/>
  <c r="D136" i="23"/>
  <c r="D128" i="23"/>
  <c r="D117" i="23"/>
  <c r="E131" i="23"/>
  <c r="F131" i="23"/>
  <c r="G131" i="23"/>
  <c r="H131" i="23"/>
  <c r="I131" i="23"/>
  <c r="E125" i="21"/>
  <c r="G125" i="21"/>
  <c r="E99" i="23"/>
  <c r="F99" i="23"/>
  <c r="G99" i="23"/>
  <c r="H99" i="23"/>
  <c r="I99" i="23"/>
  <c r="E93" i="21"/>
  <c r="G93" i="21"/>
  <c r="E114" i="23"/>
  <c r="F114" i="23"/>
  <c r="G114" i="23"/>
  <c r="H114" i="23"/>
  <c r="I114" i="23"/>
  <c r="E108" i="21"/>
  <c r="G108" i="21"/>
  <c r="D131" i="23"/>
  <c r="E113" i="23"/>
  <c r="F113" i="23"/>
  <c r="G113" i="23"/>
  <c r="H113" i="23"/>
  <c r="I113" i="23"/>
  <c r="E107" i="21"/>
  <c r="G107" i="21"/>
  <c r="N8" i="28"/>
  <c r="L8" i="28"/>
  <c r="M8" i="28"/>
  <c r="H3" i="28"/>
  <c r="G39" i="28"/>
  <c r="G193" i="21"/>
  <c r="B23" i="30"/>
  <c r="C23" i="30"/>
  <c r="E185" i="23"/>
  <c r="F185" i="23"/>
  <c r="G185" i="23"/>
  <c r="H185" i="23"/>
  <c r="I185" i="23"/>
  <c r="E166" i="21"/>
  <c r="E13" i="23"/>
  <c r="F13" i="23"/>
  <c r="G13" i="23"/>
  <c r="H13" i="23"/>
  <c r="I13" i="23"/>
  <c r="E13" i="21"/>
  <c r="G13" i="21"/>
  <c r="E14" i="23"/>
  <c r="F14" i="23"/>
  <c r="G14" i="23"/>
  <c r="H14" i="23"/>
  <c r="I14" i="23"/>
  <c r="E14" i="21"/>
  <c r="G14" i="21"/>
  <c r="D10" i="23"/>
  <c r="D14" i="23"/>
  <c r="E8" i="23"/>
  <c r="F8" i="23"/>
  <c r="G8" i="23"/>
  <c r="H8" i="23"/>
  <c r="I8" i="23"/>
  <c r="E8" i="21"/>
  <c r="G8" i="21"/>
  <c r="E12" i="23"/>
  <c r="F12" i="23"/>
  <c r="G12" i="23"/>
  <c r="H12" i="23"/>
  <c r="I12" i="23"/>
  <c r="E12" i="21"/>
  <c r="G12" i="21"/>
  <c r="D11" i="23"/>
  <c r="E15" i="23"/>
  <c r="F15" i="23"/>
  <c r="G15" i="23"/>
  <c r="H15" i="23"/>
  <c r="I15" i="23"/>
  <c r="E15" i="21"/>
  <c r="G15" i="21"/>
  <c r="D9" i="23"/>
  <c r="D8" i="23"/>
  <c r="D13" i="23"/>
  <c r="E7" i="23"/>
  <c r="F7" i="23"/>
  <c r="G7" i="23"/>
  <c r="H7" i="23"/>
  <c r="I7" i="23"/>
  <c r="E7" i="21"/>
  <c r="G7" i="21"/>
  <c r="D7" i="23"/>
  <c r="E11" i="23"/>
  <c r="F11" i="23"/>
  <c r="G11" i="23"/>
  <c r="H11" i="23"/>
  <c r="I11" i="23"/>
  <c r="D12" i="23"/>
  <c r="E10" i="23"/>
  <c r="F10" i="23"/>
  <c r="G10" i="23"/>
  <c r="H10" i="23"/>
  <c r="I10" i="23"/>
  <c r="E10" i="21"/>
  <c r="G10" i="21"/>
  <c r="D15" i="23"/>
  <c r="E9" i="23"/>
  <c r="F9" i="23"/>
  <c r="G9" i="23"/>
  <c r="H9" i="23"/>
  <c r="I9" i="23"/>
  <c r="E9" i="21"/>
  <c r="G9" i="21"/>
  <c r="D19" i="23"/>
  <c r="D20" i="23"/>
  <c r="D18" i="23"/>
  <c r="E21" i="23"/>
  <c r="F21" i="23"/>
  <c r="G21" i="23"/>
  <c r="H21" i="23"/>
  <c r="I21" i="23"/>
  <c r="E20" i="21"/>
  <c r="G20" i="21"/>
  <c r="E25" i="23"/>
  <c r="F25" i="23"/>
  <c r="G25" i="23"/>
  <c r="H25" i="23"/>
  <c r="I25" i="23"/>
  <c r="E24" i="21"/>
  <c r="G24" i="21"/>
  <c r="D22" i="23"/>
  <c r="D17" i="23"/>
  <c r="E22" i="23"/>
  <c r="F22" i="23"/>
  <c r="G22" i="23"/>
  <c r="H22" i="23"/>
  <c r="I22" i="23"/>
  <c r="E21" i="21"/>
  <c r="G21" i="21"/>
  <c r="E20" i="23"/>
  <c r="F20" i="23"/>
  <c r="G20" i="23"/>
  <c r="H20" i="23"/>
  <c r="I20" i="23"/>
  <c r="E19" i="21"/>
  <c r="G19" i="21"/>
  <c r="D23" i="23"/>
  <c r="E24" i="1"/>
  <c r="D21" i="23"/>
  <c r="E19" i="23"/>
  <c r="F19" i="23"/>
  <c r="G19" i="23"/>
  <c r="H19" i="23"/>
  <c r="I19" i="23"/>
  <c r="E18" i="21"/>
  <c r="G18" i="21"/>
  <c r="D25" i="23"/>
  <c r="D26" i="23"/>
  <c r="E24" i="23"/>
  <c r="F24" i="23"/>
  <c r="G24" i="23"/>
  <c r="H24" i="23"/>
  <c r="I24" i="23"/>
  <c r="E23" i="21"/>
  <c r="G23" i="21"/>
  <c r="D24" i="23"/>
  <c r="E23" i="23"/>
  <c r="F23" i="23"/>
  <c r="G23" i="23"/>
  <c r="H23" i="23"/>
  <c r="I23" i="23"/>
  <c r="E22" i="21"/>
  <c r="G22" i="21"/>
  <c r="E17" i="23"/>
  <c r="F17" i="23"/>
  <c r="G17" i="23"/>
  <c r="H17" i="23"/>
  <c r="I17" i="23"/>
  <c r="E16" i="21"/>
  <c r="G16" i="21"/>
  <c r="E26" i="23"/>
  <c r="F26" i="23"/>
  <c r="G26" i="23"/>
  <c r="H26" i="23"/>
  <c r="I26" i="23"/>
  <c r="E25" i="21"/>
  <c r="G25" i="21"/>
  <c r="E18" i="23"/>
  <c r="F18" i="23"/>
  <c r="G18" i="23"/>
  <c r="H18" i="23"/>
  <c r="I18" i="23"/>
  <c r="E17" i="21"/>
  <c r="G17" i="21"/>
  <c r="L4" i="28"/>
  <c r="N4" i="28"/>
  <c r="M4" i="28"/>
  <c r="E37" i="23"/>
  <c r="F37" i="23"/>
  <c r="G37" i="23"/>
  <c r="H37" i="23"/>
  <c r="I37" i="23"/>
  <c r="E34" i="21"/>
  <c r="G34" i="21"/>
  <c r="D37" i="23"/>
  <c r="D38" i="23"/>
  <c r="E38" i="23"/>
  <c r="F38" i="23"/>
  <c r="G38" i="23"/>
  <c r="H38" i="23"/>
  <c r="I38" i="23"/>
  <c r="E35" i="21"/>
  <c r="G35" i="21"/>
  <c r="D178" i="23"/>
  <c r="E178" i="23"/>
  <c r="F178" i="23"/>
  <c r="G178" i="23"/>
  <c r="H178" i="23"/>
  <c r="I178" i="23"/>
  <c r="G178" i="21"/>
  <c r="B25" i="30"/>
  <c r="L5" i="28"/>
  <c r="M5" i="28"/>
  <c r="N5" i="28"/>
  <c r="E41" i="23"/>
  <c r="F41" i="23"/>
  <c r="G41" i="23"/>
  <c r="H41" i="23"/>
  <c r="I41" i="23"/>
  <c r="E38" i="21"/>
  <c r="G38" i="21"/>
  <c r="D43" i="23"/>
  <c r="E48" i="23"/>
  <c r="F48" i="23"/>
  <c r="G48" i="23"/>
  <c r="H48" i="23"/>
  <c r="I48" i="23"/>
  <c r="E45" i="21"/>
  <c r="G45" i="21"/>
  <c r="E49" i="23"/>
  <c r="F49" i="23"/>
  <c r="G49" i="23"/>
  <c r="H49" i="23"/>
  <c r="I49" i="23"/>
  <c r="E46" i="21"/>
  <c r="G46" i="21"/>
  <c r="D39" i="23"/>
  <c r="E42" i="23"/>
  <c r="F42" i="23"/>
  <c r="G42" i="23"/>
  <c r="H42" i="23"/>
  <c r="I42" i="23"/>
  <c r="E39" i="21"/>
  <c r="G39" i="21"/>
  <c r="D48" i="23"/>
  <c r="D45" i="23"/>
  <c r="D47" i="23"/>
  <c r="E39" i="23"/>
  <c r="F39" i="23"/>
  <c r="G39" i="23"/>
  <c r="H39" i="23"/>
  <c r="I39" i="23"/>
  <c r="E36" i="21"/>
  <c r="G36" i="21"/>
  <c r="D40" i="23"/>
  <c r="D49" i="23"/>
  <c r="D41" i="23"/>
  <c r="E47" i="23"/>
  <c r="F47" i="23"/>
  <c r="G47" i="23"/>
  <c r="H47" i="23"/>
  <c r="I47" i="23"/>
  <c r="E44" i="21"/>
  <c r="G44" i="21"/>
  <c r="E44" i="23"/>
  <c r="F44" i="23"/>
  <c r="G44" i="23"/>
  <c r="H44" i="23"/>
  <c r="I44" i="23"/>
  <c r="E41" i="21"/>
  <c r="G41" i="21"/>
  <c r="E46" i="23"/>
  <c r="F46" i="23"/>
  <c r="G46" i="23"/>
  <c r="H46" i="23"/>
  <c r="I46" i="23"/>
  <c r="E43" i="21"/>
  <c r="G43" i="21"/>
  <c r="D42" i="23"/>
  <c r="D44" i="23"/>
  <c r="D46" i="23"/>
  <c r="E45" i="23"/>
  <c r="F45" i="23"/>
  <c r="G45" i="23"/>
  <c r="H45" i="23"/>
  <c r="I45" i="23"/>
  <c r="E42" i="21"/>
  <c r="G42" i="21"/>
  <c r="E40" i="23"/>
  <c r="F40" i="23"/>
  <c r="G40" i="23"/>
  <c r="H40" i="23"/>
  <c r="I40" i="23"/>
  <c r="E37" i="21"/>
  <c r="G37" i="21"/>
  <c r="E43" i="23"/>
  <c r="F43" i="23"/>
  <c r="G43" i="23"/>
  <c r="H43" i="23"/>
  <c r="I43" i="23"/>
  <c r="E40" i="21"/>
  <c r="G40" i="21"/>
  <c r="L7" i="28"/>
  <c r="M7" i="28"/>
  <c r="N7" i="28"/>
  <c r="B24" i="30"/>
  <c r="L6" i="28"/>
  <c r="N6" i="28"/>
  <c r="M6" i="28"/>
  <c r="E187" i="23"/>
  <c r="F187" i="23"/>
  <c r="G187" i="23"/>
  <c r="H187" i="23"/>
  <c r="I187" i="23"/>
  <c r="E169" i="21"/>
  <c r="G169" i="21"/>
  <c r="D193" i="23"/>
  <c r="D187" i="23"/>
  <c r="E190" i="23"/>
  <c r="F190" i="23"/>
  <c r="G190" i="23"/>
  <c r="H190" i="23"/>
  <c r="I190" i="23"/>
  <c r="E172" i="21"/>
  <c r="G172" i="21"/>
  <c r="D190" i="23"/>
  <c r="D188" i="23"/>
  <c r="E188" i="23"/>
  <c r="F188" i="23"/>
  <c r="G188" i="23"/>
  <c r="H188" i="23"/>
  <c r="I188" i="23"/>
  <c r="E170" i="21"/>
  <c r="E192" i="23"/>
  <c r="F192" i="23"/>
  <c r="G192" i="23"/>
  <c r="H192" i="23"/>
  <c r="I192" i="23"/>
  <c r="E174" i="21"/>
  <c r="G174" i="21"/>
  <c r="E191" i="23"/>
  <c r="F191" i="23"/>
  <c r="G191" i="23"/>
  <c r="H191" i="23"/>
  <c r="I191" i="23"/>
  <c r="E173" i="21"/>
  <c r="E193" i="23"/>
  <c r="F193" i="23"/>
  <c r="G193" i="23"/>
  <c r="H193" i="23"/>
  <c r="I193" i="23"/>
  <c r="E175" i="21"/>
  <c r="G175" i="21"/>
  <c r="D192" i="23"/>
  <c r="D191" i="23"/>
  <c r="D195" i="23"/>
  <c r="E189" i="23"/>
  <c r="F189" i="23"/>
  <c r="G189" i="23"/>
  <c r="H189" i="23"/>
  <c r="I189" i="23"/>
  <c r="E171" i="21"/>
  <c r="G171" i="21"/>
  <c r="E195" i="23"/>
  <c r="F195" i="23"/>
  <c r="G195" i="23"/>
  <c r="H195" i="23"/>
  <c r="I195" i="23"/>
  <c r="E177" i="21"/>
  <c r="D189" i="23"/>
  <c r="E194" i="23"/>
  <c r="F194" i="23"/>
  <c r="G194" i="23"/>
  <c r="H194" i="23"/>
  <c r="I194" i="23"/>
  <c r="E176" i="21"/>
  <c r="G176" i="21"/>
  <c r="D194" i="23"/>
  <c r="E53" i="23"/>
  <c r="F53" i="23"/>
  <c r="G53" i="23"/>
  <c r="H53" i="23"/>
  <c r="I53" i="23"/>
  <c r="E49" i="21"/>
  <c r="G49" i="21"/>
  <c r="D66" i="23"/>
  <c r="E62" i="23"/>
  <c r="F62" i="23"/>
  <c r="G62" i="23"/>
  <c r="H62" i="23"/>
  <c r="I62" i="23"/>
  <c r="E58" i="21"/>
  <c r="G58" i="21"/>
  <c r="D62" i="23"/>
  <c r="D59" i="23"/>
  <c r="D63" i="23"/>
  <c r="E55" i="23"/>
  <c r="F55" i="23"/>
  <c r="G55" i="23"/>
  <c r="H55" i="23"/>
  <c r="I55" i="23"/>
  <c r="E51" i="21"/>
  <c r="G51" i="21"/>
  <c r="E66" i="23"/>
  <c r="F66" i="23"/>
  <c r="G66" i="23"/>
  <c r="H66" i="23"/>
  <c r="I66" i="23"/>
  <c r="E62" i="21"/>
  <c r="G62" i="21"/>
  <c r="E72" i="23"/>
  <c r="F72" i="23"/>
  <c r="G72" i="23"/>
  <c r="H72" i="23"/>
  <c r="I72" i="23"/>
  <c r="E68" i="21"/>
  <c r="G68" i="21"/>
  <c r="D51" i="23"/>
  <c r="D58" i="23"/>
  <c r="D65" i="23"/>
  <c r="D55" i="23"/>
  <c r="D53" i="23"/>
  <c r="E57" i="23"/>
  <c r="F57" i="23"/>
  <c r="G57" i="23"/>
  <c r="H57" i="23"/>
  <c r="I57" i="23"/>
  <c r="E53" i="21"/>
  <c r="G53" i="21"/>
  <c r="E71" i="23"/>
  <c r="F71" i="23"/>
  <c r="G71" i="23"/>
  <c r="H71" i="23"/>
  <c r="I71" i="23"/>
  <c r="E67" i="21"/>
  <c r="G67" i="21"/>
  <c r="E73" i="23"/>
  <c r="F73" i="23"/>
  <c r="G73" i="23"/>
  <c r="H73" i="23"/>
  <c r="I73" i="23"/>
  <c r="E69" i="21"/>
  <c r="G69" i="21"/>
  <c r="E56" i="23"/>
  <c r="F56" i="23"/>
  <c r="G56" i="23"/>
  <c r="H56" i="23"/>
  <c r="I56" i="23"/>
  <c r="E52" i="21"/>
  <c r="G52" i="21"/>
  <c r="E54" i="23"/>
  <c r="F54" i="23"/>
  <c r="G54" i="23"/>
  <c r="H54" i="23"/>
  <c r="I54" i="23"/>
  <c r="E50" i="21"/>
  <c r="G50" i="21"/>
  <c r="D64" i="23"/>
  <c r="D60" i="23"/>
  <c r="E67" i="23"/>
  <c r="F67" i="23"/>
  <c r="G67" i="23"/>
  <c r="H67" i="23"/>
  <c r="I67" i="23"/>
  <c r="E63" i="21"/>
  <c r="G63" i="21"/>
  <c r="E65" i="23"/>
  <c r="F65" i="23"/>
  <c r="G65" i="23"/>
  <c r="H65" i="23"/>
  <c r="I65" i="23"/>
  <c r="E61" i="21"/>
  <c r="G61" i="21"/>
  <c r="E70" i="23"/>
  <c r="F70" i="23"/>
  <c r="G70" i="23"/>
  <c r="H70" i="23"/>
  <c r="I70" i="23"/>
  <c r="E66" i="21"/>
  <c r="G66" i="21"/>
  <c r="E52" i="23"/>
  <c r="F52" i="23"/>
  <c r="G52" i="23"/>
  <c r="H52" i="23"/>
  <c r="I52" i="23"/>
  <c r="E48" i="21"/>
  <c r="G48" i="21"/>
  <c r="E61" i="23"/>
  <c r="F61" i="23"/>
  <c r="G61" i="23"/>
  <c r="H61" i="23"/>
  <c r="I61" i="23"/>
  <c r="E57" i="21"/>
  <c r="G57" i="21"/>
  <c r="D61" i="23"/>
  <c r="D70" i="23"/>
  <c r="D52" i="23"/>
  <c r="E68" i="23"/>
  <c r="F68" i="23"/>
  <c r="G68" i="23"/>
  <c r="H68" i="23"/>
  <c r="I68" i="23"/>
  <c r="E64" i="21"/>
  <c r="E58" i="23"/>
  <c r="F58" i="23"/>
  <c r="G58" i="23"/>
  <c r="H58" i="23"/>
  <c r="I58" i="23"/>
  <c r="E54" i="21"/>
  <c r="G54" i="21"/>
  <c r="D56" i="23"/>
  <c r="E75" i="23"/>
  <c r="F75" i="23"/>
  <c r="G75" i="23"/>
  <c r="H75" i="23"/>
  <c r="I75" i="23"/>
  <c r="E71" i="21"/>
  <c r="G71" i="21"/>
  <c r="E69" i="23"/>
  <c r="F69" i="23"/>
  <c r="G69" i="23"/>
  <c r="H69" i="23"/>
  <c r="I69" i="23"/>
  <c r="E65" i="21"/>
  <c r="D76" i="23"/>
  <c r="D69" i="23"/>
  <c r="D74" i="23"/>
  <c r="D68" i="23"/>
  <c r="D67" i="23"/>
  <c r="E59" i="23"/>
  <c r="F59" i="23"/>
  <c r="G59" i="23"/>
  <c r="H59" i="23"/>
  <c r="I59" i="23"/>
  <c r="E55" i="21"/>
  <c r="G55" i="21"/>
  <c r="E76" i="23"/>
  <c r="F76" i="23"/>
  <c r="G76" i="23"/>
  <c r="H76" i="23"/>
  <c r="I76" i="23"/>
  <c r="E72" i="21"/>
  <c r="G72" i="21"/>
  <c r="E74" i="23"/>
  <c r="F74" i="23"/>
  <c r="G74" i="23"/>
  <c r="H74" i="23"/>
  <c r="I74" i="23"/>
  <c r="E70" i="21"/>
  <c r="G70" i="21"/>
  <c r="D54" i="23"/>
  <c r="D77" i="23"/>
  <c r="E64" i="23"/>
  <c r="F64" i="23"/>
  <c r="G64" i="23"/>
  <c r="H64" i="23"/>
  <c r="I64" i="23"/>
  <c r="E60" i="21"/>
  <c r="G60" i="21"/>
  <c r="E63" i="23"/>
  <c r="F63" i="23"/>
  <c r="G63" i="23"/>
  <c r="H63" i="23"/>
  <c r="I63" i="23"/>
  <c r="E59" i="21"/>
  <c r="G59" i="21"/>
  <c r="E60" i="23"/>
  <c r="F60" i="23"/>
  <c r="G60" i="23"/>
  <c r="H60" i="23"/>
  <c r="I60" i="23"/>
  <c r="E56" i="21"/>
  <c r="G56" i="21"/>
  <c r="E77" i="23"/>
  <c r="F77" i="23"/>
  <c r="G77" i="23"/>
  <c r="H77" i="23"/>
  <c r="I77" i="23"/>
  <c r="E73" i="21"/>
  <c r="G73" i="21"/>
  <c r="D73" i="23"/>
  <c r="D72" i="23"/>
  <c r="D57" i="23"/>
  <c r="D71" i="23"/>
  <c r="D75" i="23"/>
  <c r="E51" i="23"/>
  <c r="F51" i="23"/>
  <c r="G51" i="23"/>
  <c r="H51" i="23"/>
  <c r="I51" i="23"/>
  <c r="E47" i="21"/>
  <c r="G47" i="21"/>
  <c r="E212" i="23"/>
  <c r="F212" i="23"/>
  <c r="G212" i="23"/>
  <c r="H212" i="23"/>
  <c r="I212" i="23"/>
  <c r="D215" i="23"/>
  <c r="E214" i="23"/>
  <c r="F214" i="23"/>
  <c r="G214" i="23"/>
  <c r="H214" i="23"/>
  <c r="I214" i="23"/>
  <c r="D212" i="23"/>
  <c r="D211" i="23"/>
  <c r="E216" i="23"/>
  <c r="F216" i="23"/>
  <c r="G216" i="23"/>
  <c r="H216" i="23"/>
  <c r="I216" i="23"/>
  <c r="E209" i="21"/>
  <c r="D214" i="23"/>
  <c r="E211" i="23"/>
  <c r="F211" i="23"/>
  <c r="G211" i="23"/>
  <c r="H211" i="23"/>
  <c r="I211" i="23"/>
  <c r="E204" i="21"/>
  <c r="G204" i="21"/>
  <c r="E215" i="23"/>
  <c r="F215" i="23"/>
  <c r="G215" i="23"/>
  <c r="H215" i="23"/>
  <c r="I215" i="23"/>
  <c r="E208" i="21"/>
  <c r="D213" i="23"/>
  <c r="E213" i="23"/>
  <c r="F213" i="23"/>
  <c r="G213" i="23"/>
  <c r="H213" i="23"/>
  <c r="I213" i="23"/>
  <c r="D216" i="23"/>
  <c r="L9" i="28"/>
  <c r="N9" i="28"/>
  <c r="M9" i="28"/>
  <c r="F26" i="1"/>
  <c r="G192" i="21"/>
  <c r="B22" i="30"/>
  <c r="E36" i="1"/>
  <c r="E206" i="21"/>
  <c r="G206" i="21"/>
  <c r="G10" i="30"/>
  <c r="B10" i="30"/>
  <c r="E207" i="21"/>
  <c r="G207" i="21"/>
  <c r="G11" i="30"/>
  <c r="B11" i="30"/>
  <c r="E159" i="21"/>
  <c r="F159" i="21"/>
  <c r="E158" i="21"/>
  <c r="F158" i="21"/>
  <c r="G158" i="21"/>
  <c r="F30" i="1"/>
  <c r="B61" i="1"/>
  <c r="C22" i="30"/>
  <c r="D22" i="30"/>
  <c r="F22" i="30"/>
  <c r="E179" i="23"/>
  <c r="F179" i="23"/>
  <c r="G179" i="23"/>
  <c r="H179" i="23"/>
  <c r="I179" i="23"/>
  <c r="E160" i="21"/>
  <c r="E181" i="23"/>
  <c r="F181" i="23"/>
  <c r="G181" i="23"/>
  <c r="H181" i="23"/>
  <c r="I181" i="23"/>
  <c r="E162" i="21"/>
  <c r="D179" i="23"/>
  <c r="D183" i="23"/>
  <c r="E183" i="23"/>
  <c r="F183" i="23"/>
  <c r="G183" i="23"/>
  <c r="H183" i="23"/>
  <c r="I183" i="23"/>
  <c r="E164" i="21"/>
  <c r="D185" i="23"/>
  <c r="E184" i="23"/>
  <c r="F184" i="23"/>
  <c r="G184" i="23"/>
  <c r="H184" i="23"/>
  <c r="I184" i="23"/>
  <c r="E165" i="21"/>
  <c r="D181" i="23"/>
  <c r="D184" i="23"/>
  <c r="E182" i="23"/>
  <c r="F182" i="23"/>
  <c r="G182" i="23"/>
  <c r="H182" i="23"/>
  <c r="I182" i="23"/>
  <c r="E163" i="21"/>
  <c r="E180" i="23"/>
  <c r="F180" i="23"/>
  <c r="G180" i="23"/>
  <c r="H180" i="23"/>
  <c r="I180" i="23"/>
  <c r="E161" i="21"/>
  <c r="D182" i="23"/>
  <c r="D180" i="23"/>
  <c r="D173" i="23"/>
  <c r="D175" i="23"/>
  <c r="D177" i="23"/>
  <c r="D186" i="23"/>
  <c r="C18" i="1"/>
  <c r="E186" i="23"/>
  <c r="F186" i="23"/>
  <c r="G186" i="23"/>
  <c r="H186" i="23"/>
  <c r="I186" i="23"/>
  <c r="I3" i="28"/>
  <c r="H39" i="28"/>
  <c r="G22" i="30"/>
  <c r="F28" i="1"/>
  <c r="F38" i="1"/>
  <c r="B63" i="1"/>
  <c r="E11" i="21"/>
  <c r="G11" i="21"/>
  <c r="G8" i="30"/>
  <c r="B8" i="30"/>
  <c r="E205" i="21"/>
  <c r="G205" i="21"/>
  <c r="G9" i="30"/>
  <c r="B9" i="30"/>
  <c r="C24" i="30"/>
  <c r="D24" i="30"/>
  <c r="F24" i="30"/>
  <c r="E175" i="23"/>
  <c r="F175" i="23"/>
  <c r="G175" i="23"/>
  <c r="H175" i="23"/>
  <c r="I175" i="23"/>
  <c r="E177" i="23"/>
  <c r="F177" i="23"/>
  <c r="G177" i="23"/>
  <c r="H177" i="23"/>
  <c r="I177" i="23"/>
  <c r="C25" i="30"/>
  <c r="D25" i="30"/>
  <c r="F25" i="30"/>
  <c r="F27" i="1"/>
  <c r="B62" i="1"/>
  <c r="F25" i="1"/>
  <c r="E173" i="23"/>
  <c r="F173" i="23"/>
  <c r="F29" i="1"/>
  <c r="G24" i="30"/>
  <c r="G25" i="30"/>
  <c r="G23" i="30"/>
  <c r="F49" i="1"/>
  <c r="B65" i="1"/>
  <c r="D65" i="1"/>
  <c r="C15" i="1"/>
  <c r="C17" i="1"/>
  <c r="G12" i="30"/>
  <c r="C26" i="30"/>
  <c r="C61" i="30"/>
  <c r="C16" i="1"/>
  <c r="D63" i="1"/>
  <c r="E168" i="21"/>
  <c r="F168" i="21"/>
  <c r="E167" i="21"/>
  <c r="F167" i="21"/>
  <c r="G167" i="21"/>
  <c r="D61" i="1"/>
  <c r="F24" i="1"/>
  <c r="B60" i="1"/>
  <c r="E152" i="21"/>
  <c r="F152" i="21"/>
  <c r="E151" i="21"/>
  <c r="H40" i="30"/>
  <c r="F23" i="1"/>
  <c r="D9" i="30"/>
  <c r="F9" i="30"/>
  <c r="C9" i="30"/>
  <c r="D11" i="30"/>
  <c r="F11" i="30"/>
  <c r="C11" i="30"/>
  <c r="G173" i="23"/>
  <c r="H173" i="23"/>
  <c r="I173" i="23"/>
  <c r="B34" i="25"/>
  <c r="G26" i="30"/>
  <c r="E157" i="21"/>
  <c r="F157" i="21"/>
  <c r="E156" i="21"/>
  <c r="F156" i="21"/>
  <c r="G156" i="21"/>
  <c r="C10" i="30"/>
  <c r="D10" i="30"/>
  <c r="F10" i="30"/>
  <c r="D62" i="1"/>
  <c r="G159" i="21"/>
  <c r="G41" i="30"/>
  <c r="B41" i="30"/>
  <c r="D8" i="30"/>
  <c r="C8" i="30"/>
  <c r="B12" i="30"/>
  <c r="J3" i="28"/>
  <c r="I39" i="28"/>
  <c r="F26" i="30"/>
  <c r="F43" i="1"/>
  <c r="C12" i="30"/>
  <c r="N3" i="28"/>
  <c r="N39" i="28"/>
  <c r="N42" i="28"/>
  <c r="M3" i="28"/>
  <c r="L3" i="28"/>
  <c r="J39" i="28"/>
  <c r="F151" i="21"/>
  <c r="G151" i="21"/>
  <c r="G182" i="21"/>
  <c r="G180" i="21"/>
  <c r="G187" i="21"/>
  <c r="G168" i="21"/>
  <c r="G39" i="30"/>
  <c r="B39" i="30"/>
  <c r="D60" i="1"/>
  <c r="D41" i="30"/>
  <c r="F41" i="30"/>
  <c r="C41" i="30"/>
  <c r="C52" i="30"/>
  <c r="C66" i="30"/>
  <c r="B59" i="1"/>
  <c r="B40" i="30"/>
  <c r="G152" i="21"/>
  <c r="G40" i="30"/>
  <c r="D12" i="30"/>
  <c r="F8" i="30"/>
  <c r="F12" i="30"/>
  <c r="B36" i="30"/>
  <c r="G157" i="21"/>
  <c r="G36" i="30"/>
  <c r="C55" i="30"/>
  <c r="C69" i="30"/>
  <c r="C50" i="30"/>
  <c r="C51" i="30"/>
  <c r="H75" i="30"/>
  <c r="C49" i="30"/>
  <c r="F42" i="1"/>
  <c r="N44" i="28"/>
  <c r="D40" i="30"/>
  <c r="F40" i="30"/>
  <c r="C40" i="30"/>
  <c r="F41" i="1"/>
  <c r="C36" i="30"/>
  <c r="D36" i="30"/>
  <c r="F36" i="30"/>
  <c r="F44" i="1"/>
  <c r="D39" i="30"/>
  <c r="F39" i="30"/>
  <c r="C39" i="30"/>
  <c r="D59" i="1"/>
  <c r="N43" i="28"/>
  <c r="L39" i="28"/>
  <c r="L42" i="28"/>
  <c r="M39" i="28"/>
  <c r="M42" i="28"/>
  <c r="M44" i="28"/>
  <c r="C54" i="30"/>
  <c r="C56" i="30"/>
  <c r="C57" i="30"/>
  <c r="C53" i="30"/>
  <c r="F153" i="6"/>
  <c r="G153" i="6"/>
  <c r="H153" i="6"/>
  <c r="G153" i="23"/>
  <c r="H153" i="23"/>
  <c r="I153" i="23"/>
  <c r="F206" i="6"/>
  <c r="G206" i="6"/>
  <c r="H206" i="6"/>
  <c r="G206" i="23"/>
  <c r="H206" i="23"/>
  <c r="I206" i="23"/>
  <c r="F141" i="6"/>
  <c r="G141" i="6"/>
  <c r="H141" i="6"/>
  <c r="G141" i="23"/>
  <c r="H141" i="23"/>
  <c r="I141" i="23"/>
  <c r="F197" i="6"/>
  <c r="G197" i="6"/>
  <c r="H197" i="6"/>
  <c r="G197" i="23"/>
  <c r="H197" i="23"/>
  <c r="I197" i="23"/>
  <c r="F159" i="6"/>
  <c r="G159" i="6"/>
  <c r="H159" i="6"/>
  <c r="G159" i="23"/>
  <c r="H159" i="23"/>
  <c r="I159" i="23"/>
  <c r="F152" i="6"/>
  <c r="G152" i="6"/>
  <c r="H152" i="6"/>
  <c r="G152" i="23"/>
  <c r="H152" i="23"/>
  <c r="I152" i="23"/>
  <c r="F151" i="6"/>
  <c r="G151" i="6"/>
  <c r="H151" i="6"/>
  <c r="G151" i="23"/>
  <c r="H151" i="23"/>
  <c r="I151" i="23"/>
  <c r="F147" i="6"/>
  <c r="G147" i="6"/>
  <c r="H147" i="6"/>
  <c r="G147" i="23"/>
  <c r="H147" i="23"/>
  <c r="I147" i="23"/>
  <c r="F160" i="6"/>
  <c r="G160" i="6"/>
  <c r="H160" i="6"/>
  <c r="G160" i="23"/>
  <c r="H160" i="23"/>
  <c r="I160" i="23"/>
  <c r="F148" i="6"/>
  <c r="G148" i="6"/>
  <c r="H148" i="6"/>
  <c r="G148" i="23"/>
  <c r="H148" i="23"/>
  <c r="I148" i="23"/>
  <c r="F208" i="6"/>
  <c r="G208" i="6"/>
  <c r="H208" i="6"/>
  <c r="G208" i="23"/>
  <c r="H208" i="23"/>
  <c r="I208" i="23"/>
  <c r="F140" i="6"/>
  <c r="G140" i="6"/>
  <c r="H140" i="6"/>
  <c r="G140" i="23"/>
  <c r="H140" i="23"/>
  <c r="I140" i="23"/>
  <c r="F161" i="6"/>
  <c r="G161" i="6"/>
  <c r="H161" i="6"/>
  <c r="G161" i="23"/>
  <c r="H161" i="23"/>
  <c r="I161" i="23"/>
  <c r="L44" i="28"/>
  <c r="F142" i="6"/>
  <c r="G142" i="6"/>
  <c r="H142" i="6"/>
  <c r="G142" i="23"/>
  <c r="H142" i="23"/>
  <c r="I142" i="23"/>
  <c r="F156" i="6"/>
  <c r="G156" i="6"/>
  <c r="H156" i="6"/>
  <c r="G156" i="23"/>
  <c r="H156" i="23"/>
  <c r="I156" i="23"/>
  <c r="F162" i="6"/>
  <c r="G162" i="6"/>
  <c r="H162" i="6"/>
  <c r="G162" i="23"/>
  <c r="H162" i="23"/>
  <c r="I162" i="23"/>
  <c r="F167" i="6"/>
  <c r="G167" i="6"/>
  <c r="H167" i="6"/>
  <c r="G167" i="23"/>
  <c r="H167" i="23"/>
  <c r="I167" i="23"/>
  <c r="F157" i="6"/>
  <c r="G157" i="6"/>
  <c r="H157" i="6"/>
  <c r="G157" i="23"/>
  <c r="H157" i="23"/>
  <c r="I157" i="23"/>
  <c r="F209" i="6"/>
  <c r="G209" i="6"/>
  <c r="H209" i="6"/>
  <c r="G209" i="23"/>
  <c r="H209" i="23"/>
  <c r="I209" i="23"/>
  <c r="F155" i="6"/>
  <c r="G155" i="6"/>
  <c r="H155" i="6"/>
  <c r="G155" i="23"/>
  <c r="H155" i="23"/>
  <c r="I155" i="23"/>
  <c r="F150" i="6"/>
  <c r="G150" i="6"/>
  <c r="H150" i="6"/>
  <c r="G150" i="23"/>
  <c r="H150" i="23"/>
  <c r="I150" i="23"/>
  <c r="F166" i="6"/>
  <c r="G166" i="6"/>
  <c r="H166" i="6"/>
  <c r="G166" i="23"/>
  <c r="H166" i="23"/>
  <c r="I166" i="23"/>
  <c r="F154" i="6"/>
  <c r="G154" i="6"/>
  <c r="H154" i="6"/>
  <c r="G154" i="23"/>
  <c r="H154" i="23"/>
  <c r="I154" i="23"/>
  <c r="F145" i="6"/>
  <c r="G145" i="6"/>
  <c r="H145" i="6"/>
  <c r="G145" i="23"/>
  <c r="H145" i="23"/>
  <c r="I145" i="23"/>
  <c r="F149" i="6"/>
  <c r="G149" i="6"/>
  <c r="H149" i="6"/>
  <c r="G149" i="23"/>
  <c r="H149" i="23"/>
  <c r="I149" i="23"/>
  <c r="F143" i="6"/>
  <c r="G143" i="6"/>
  <c r="H143" i="6"/>
  <c r="G143" i="23"/>
  <c r="H143" i="23"/>
  <c r="I143" i="23"/>
  <c r="F164" i="6"/>
  <c r="G164" i="6"/>
  <c r="H164" i="6"/>
  <c r="G164" i="23"/>
  <c r="H164" i="23"/>
  <c r="I164" i="23"/>
  <c r="F207" i="6"/>
  <c r="G207" i="6"/>
  <c r="H207" i="6"/>
  <c r="G207" i="23"/>
  <c r="H207" i="23"/>
  <c r="I207" i="23"/>
  <c r="F163" i="6"/>
  <c r="G163" i="6"/>
  <c r="H163" i="6"/>
  <c r="G163" i="23"/>
  <c r="H163" i="23"/>
  <c r="I163" i="23"/>
  <c r="F146" i="6"/>
  <c r="G146" i="6"/>
  <c r="H146" i="6"/>
  <c r="G146" i="23"/>
  <c r="H146" i="23"/>
  <c r="I146" i="23"/>
  <c r="F158" i="6"/>
  <c r="G158" i="6"/>
  <c r="H158" i="6"/>
  <c r="G158" i="23"/>
  <c r="H158" i="23"/>
  <c r="I158" i="23"/>
  <c r="F204" i="6"/>
  <c r="G204" i="6"/>
  <c r="H204" i="6"/>
  <c r="G204" i="23"/>
  <c r="H204" i="23"/>
  <c r="I204" i="23"/>
  <c r="F205" i="6"/>
  <c r="G205" i="6"/>
  <c r="H205" i="6"/>
  <c r="G205" i="23"/>
  <c r="H205" i="23"/>
  <c r="I205" i="23"/>
  <c r="F144" i="6"/>
  <c r="G144" i="6"/>
  <c r="H144" i="6"/>
  <c r="G144" i="23"/>
  <c r="H144" i="23"/>
  <c r="I144" i="23"/>
  <c r="F168" i="6"/>
  <c r="G168" i="6"/>
  <c r="H168" i="6"/>
  <c r="G168" i="23"/>
  <c r="H168" i="23"/>
  <c r="I168" i="23"/>
  <c r="F165" i="6"/>
  <c r="G165" i="6"/>
  <c r="H165" i="6"/>
  <c r="G165" i="23"/>
  <c r="H165" i="23"/>
  <c r="I165" i="23"/>
  <c r="M43" i="28"/>
  <c r="L43" i="28"/>
  <c r="E199" i="21"/>
  <c r="F199" i="21"/>
  <c r="H199" i="21"/>
  <c r="E203" i="21"/>
  <c r="F203" i="21"/>
  <c r="E201" i="21"/>
  <c r="F201" i="21"/>
  <c r="G201" i="21"/>
  <c r="E202" i="21"/>
  <c r="F202" i="21"/>
  <c r="G202" i="21"/>
  <c r="E200" i="21"/>
  <c r="F200" i="21"/>
  <c r="H200" i="21"/>
  <c r="E137" i="21"/>
  <c r="F137" i="21"/>
  <c r="E133" i="21"/>
  <c r="F133" i="21"/>
  <c r="H133" i="21"/>
  <c r="E135" i="21"/>
  <c r="F135" i="21"/>
  <c r="G135" i="21"/>
  <c r="E136" i="21"/>
  <c r="F136" i="21"/>
  <c r="G136" i="21"/>
  <c r="B30" i="25"/>
  <c r="B32" i="25"/>
  <c r="B36" i="25"/>
  <c r="E134" i="21"/>
  <c r="F134" i="21"/>
  <c r="H134" i="21"/>
  <c r="B37" i="25"/>
  <c r="B39" i="25"/>
  <c r="G47" i="1"/>
  <c r="G32" i="1"/>
  <c r="B37" i="30"/>
  <c r="G137" i="21"/>
  <c r="B38" i="30"/>
  <c r="G203" i="21"/>
  <c r="G38" i="30"/>
  <c r="F47" i="1"/>
  <c r="C38" i="30"/>
  <c r="D38" i="30"/>
  <c r="F38" i="30"/>
  <c r="G37" i="30"/>
  <c r="D37" i="30"/>
  <c r="F37" i="30"/>
  <c r="C37" i="30"/>
  <c r="G31" i="1"/>
  <c r="F32" i="1"/>
  <c r="E143" i="21"/>
  <c r="E142" i="21"/>
  <c r="E144" i="21"/>
  <c r="F144" i="21"/>
  <c r="G144" i="21"/>
  <c r="E145" i="21"/>
  <c r="F145" i="21"/>
  <c r="H34" i="30"/>
  <c r="B38" i="25"/>
  <c r="F31" i="1"/>
  <c r="E150" i="21"/>
  <c r="F150" i="21"/>
  <c r="G150" i="21"/>
  <c r="E146" i="21"/>
  <c r="F146" i="21"/>
  <c r="H146" i="21"/>
  <c r="E147" i="21"/>
  <c r="F147" i="21"/>
  <c r="G147" i="21"/>
  <c r="H35" i="30"/>
  <c r="H42" i="30"/>
  <c r="E148" i="21"/>
  <c r="F148" i="21"/>
  <c r="E149" i="21"/>
  <c r="F149" i="21"/>
  <c r="H149" i="21"/>
  <c r="G145" i="21"/>
  <c r="B34" i="30"/>
  <c r="F143" i="21"/>
  <c r="I143" i="21"/>
  <c r="F142" i="21"/>
  <c r="H142" i="21"/>
  <c r="C62" i="30"/>
  <c r="C63" i="30"/>
  <c r="C64" i="30"/>
  <c r="D34" i="30"/>
  <c r="C34" i="30"/>
  <c r="G181" i="21"/>
  <c r="G183" i="21"/>
  <c r="B35" i="30"/>
  <c r="B42" i="30"/>
  <c r="G148" i="21"/>
  <c r="G35" i="30"/>
  <c r="G40" i="1"/>
  <c r="C21" i="31"/>
  <c r="H40" i="1"/>
  <c r="C23" i="31"/>
  <c r="G34" i="30"/>
  <c r="G188" i="21"/>
  <c r="B84" i="30"/>
  <c r="C68" i="30"/>
  <c r="C70" i="30"/>
  <c r="C71" i="30"/>
  <c r="C65" i="30"/>
  <c r="C67" i="30"/>
  <c r="C19" i="31"/>
  <c r="F40" i="1"/>
  <c r="F36" i="1"/>
  <c r="G42" i="30"/>
  <c r="D35" i="30"/>
  <c r="F35" i="30"/>
  <c r="C35" i="30"/>
  <c r="C42" i="30"/>
  <c r="H36" i="1"/>
  <c r="H50" i="1"/>
  <c r="F46" i="1"/>
  <c r="G36" i="1"/>
  <c r="B66" i="1"/>
  <c r="G50" i="1"/>
  <c r="F34" i="30"/>
  <c r="H76" i="30"/>
  <c r="F50" i="1"/>
  <c r="F42" i="30"/>
  <c r="H78" i="30"/>
  <c r="D42" i="30"/>
  <c r="D66" i="1"/>
  <c r="H77" i="30"/>
  <c r="H79" i="30"/>
  <c r="B83" i="30"/>
  <c r="B82" i="30"/>
  <c r="F52" i="1"/>
  <c r="B64" i="1"/>
  <c r="C20" i="31"/>
  <c r="C22" i="31"/>
  <c r="C24" i="31"/>
  <c r="F54" i="1"/>
  <c r="F55" i="1"/>
  <c r="C28" i="31"/>
  <c r="C29" i="31"/>
  <c r="D64" i="1"/>
  <c r="G53" i="1"/>
  <c r="B67" i="1"/>
  <c r="C30" i="31"/>
  <c r="H53" i="1"/>
  <c r="H54" i="1"/>
  <c r="C31" i="31"/>
  <c r="G54" i="1"/>
  <c r="B7" i="1"/>
  <c r="B10" i="1"/>
  <c r="C32" i="31"/>
  <c r="D67" i="1"/>
  <c r="B68" i="1"/>
  <c r="C7" i="1"/>
  <c r="B12" i="1"/>
  <c r="C12" i="1"/>
  <c r="B11" i="1"/>
  <c r="C11" i="1"/>
  <c r="C61" i="1"/>
  <c r="C65" i="1"/>
  <c r="C63" i="1"/>
  <c r="C62" i="1"/>
  <c r="C60" i="1"/>
  <c r="C59" i="1"/>
  <c r="C66" i="1"/>
  <c r="C64" i="1"/>
  <c r="C67" i="1"/>
  <c r="D68" i="1"/>
  <c r="C10" i="1"/>
  <c r="E67" i="1"/>
  <c r="E63" i="1"/>
  <c r="E65" i="1"/>
  <c r="E62" i="1"/>
  <c r="E61" i="1"/>
  <c r="E60" i="1"/>
  <c r="E59" i="1"/>
  <c r="E66" i="1"/>
  <c r="E64" i="1"/>
</calcChain>
</file>

<file path=xl/comments1.xml><?xml version="1.0" encoding="utf-8"?>
<comments xmlns="http://schemas.openxmlformats.org/spreadsheetml/2006/main">
  <authors>
    <author>Amelia B. Fischer</author>
  </authors>
  <commentList>
    <comment ref="C7" authorId="0">
      <text>
        <r>
          <rPr>
            <b/>
            <sz val="9"/>
            <color indexed="81"/>
            <rFont val="Tahoma"/>
            <family val="2"/>
          </rPr>
          <t>Amelia B. Fischer:</t>
        </r>
        <r>
          <rPr>
            <sz val="9"/>
            <color indexed="81"/>
            <rFont val="Tahoma"/>
            <family val="2"/>
          </rPr>
          <t xml:space="preserve">
Average of whole grain and white flour</t>
        </r>
      </text>
    </comment>
    <comment ref="C13" authorId="0">
      <text>
        <r>
          <rPr>
            <b/>
            <sz val="9"/>
            <color indexed="81"/>
            <rFont val="Tahoma"/>
            <family val="2"/>
          </rPr>
          <t>Amelia B. Fischer:</t>
        </r>
        <r>
          <rPr>
            <sz val="9"/>
            <color indexed="81"/>
            <rFont val="Tahoma"/>
            <family val="2"/>
          </rPr>
          <t xml:space="preserve">
brown and white medium-grain rice average</t>
        </r>
      </text>
    </comment>
  </commentList>
</comments>
</file>

<file path=xl/comments2.xml><?xml version="1.0" encoding="utf-8"?>
<comments xmlns="http://schemas.openxmlformats.org/spreadsheetml/2006/main">
  <authors>
    <author>JP</author>
  </authors>
  <commentList>
    <comment ref="C164" authorId="0">
      <text>
        <r>
          <rPr>
            <b/>
            <sz val="9"/>
            <color indexed="81"/>
            <rFont val="Tahoma"/>
            <family val="2"/>
          </rPr>
          <t>JP:</t>
        </r>
        <r>
          <rPr>
            <sz val="9"/>
            <color indexed="81"/>
            <rFont val="Tahoma"/>
            <family val="2"/>
          </rPr>
          <t xml:space="preserve">
Used the same values for canned whole evaporated and condensed milk.
</t>
        </r>
      </text>
    </comment>
    <comment ref="E169" authorId="0">
      <text>
        <r>
          <rPr>
            <b/>
            <sz val="9"/>
            <color indexed="81"/>
            <rFont val="Tahoma"/>
            <family val="2"/>
          </rPr>
          <t>JP:</t>
        </r>
        <r>
          <rPr>
            <sz val="9"/>
            <color indexed="81"/>
            <rFont val="Tahoma"/>
            <family val="2"/>
          </rPr>
          <t xml:space="preserve">
JP to Chris --&gt; I assumed the same loss factors for soymilk as conventional milk.  I will check with USDA to see if there are existing losses for soy products.
</t>
        </r>
      </text>
    </comment>
  </commentList>
</comments>
</file>

<file path=xl/comments3.xml><?xml version="1.0" encoding="utf-8"?>
<comments xmlns="http://schemas.openxmlformats.org/spreadsheetml/2006/main">
  <authors>
    <author>JP</author>
  </authors>
  <commentList>
    <comment ref="D6" authorId="0">
      <text>
        <r>
          <rPr>
            <b/>
            <sz val="9"/>
            <color indexed="81"/>
            <rFont val="Tahoma"/>
            <family val="2"/>
          </rPr>
          <t>JP:</t>
        </r>
        <r>
          <rPr>
            <sz val="9"/>
            <color indexed="81"/>
            <rFont val="Tahoma"/>
            <family val="2"/>
          </rPr>
          <t xml:space="preserve">
These values are calculated from the User's Diet worksheet using the entered values by the user, mulitplied by the local preference in the Food Preferences worksheet.
</t>
        </r>
      </text>
    </comment>
  </commentList>
</comments>
</file>

<file path=xl/comments4.xml><?xml version="1.0" encoding="utf-8"?>
<comments xmlns="http://schemas.openxmlformats.org/spreadsheetml/2006/main">
  <authors>
    <author>Common</author>
  </authors>
  <commentList>
    <comment ref="J234" authorId="0">
      <text>
        <r>
          <rPr>
            <b/>
            <sz val="8"/>
            <color indexed="81"/>
            <rFont val="Tahoma"/>
            <family val="2"/>
          </rPr>
          <t>Common:</t>
        </r>
        <r>
          <rPr>
            <sz val="8"/>
            <color indexed="81"/>
            <rFont val="Tahoma"/>
            <family val="2"/>
          </rPr>
          <t xml:space="preserve">
"CP = % N x 6.25. Crude protein will include both true protein and non-protein nitrogen." http://www.ag.ndsu.edu/pubs/plantsci/hay/r1080w.htm</t>
        </r>
      </text>
    </comment>
  </commentList>
</comments>
</file>

<file path=xl/sharedStrings.xml><?xml version="1.0" encoding="utf-8"?>
<sst xmlns="http://schemas.openxmlformats.org/spreadsheetml/2006/main" count="7872" uniqueCount="1379">
  <si>
    <t>Unit</t>
  </si>
  <si>
    <t>Value</t>
  </si>
  <si>
    <t>Notes</t>
  </si>
  <si>
    <t>Food group</t>
  </si>
  <si>
    <t>Grains</t>
  </si>
  <si>
    <t>Vegetables</t>
  </si>
  <si>
    <t>Fruits</t>
  </si>
  <si>
    <t>Dairy</t>
  </si>
  <si>
    <t>Added fats</t>
  </si>
  <si>
    <t>Sweeteners</t>
  </si>
  <si>
    <t>Whole grains</t>
  </si>
  <si>
    <t>Dark green vegetables</t>
  </si>
  <si>
    <t>Starchy vegetables</t>
  </si>
  <si>
    <t>Other vegetables</t>
  </si>
  <si>
    <t>Protein</t>
  </si>
  <si>
    <t>Chicken</t>
  </si>
  <si>
    <t>Pork</t>
  </si>
  <si>
    <t>Eggs</t>
  </si>
  <si>
    <t>Food subgroup</t>
  </si>
  <si>
    <t>Recommended value</t>
  </si>
  <si>
    <t>CROP YIELDS</t>
  </si>
  <si>
    <t>LIVESTOCK RATIONS AND FEED EFFICIENCIES</t>
  </si>
  <si>
    <t>PROCESSING YIELDS</t>
  </si>
  <si>
    <t>LOSSES AND WASTE</t>
  </si>
  <si>
    <t>FOOD COMPOSITION</t>
  </si>
  <si>
    <t>README</t>
  </si>
  <si>
    <t>NUTRITIONAL RECOMMENDATIONS</t>
  </si>
  <si>
    <t>Food commodity</t>
  </si>
  <si>
    <t>FOOD PREFERENCES</t>
  </si>
  <si>
    <t>Milk consumption (lbs per capita/year)</t>
  </si>
  <si>
    <t>Milking cows needed (# per capita)</t>
  </si>
  <si>
    <t>calculated value</t>
  </si>
  <si>
    <t>Beef consumption (lbs per capita/year)</t>
  </si>
  <si>
    <t>Beef production needed from dedicated beef herd (lbs per capita/year)</t>
  </si>
  <si>
    <t>Percent "dairy" beef</t>
  </si>
  <si>
    <t>Percent "Dedicated" beef</t>
  </si>
  <si>
    <t>Rice</t>
  </si>
  <si>
    <t>soybean</t>
  </si>
  <si>
    <t>Corn</t>
  </si>
  <si>
    <t>LAND REQUIREMENTS</t>
  </si>
  <si>
    <t>Units</t>
  </si>
  <si>
    <t>kcal</t>
  </si>
  <si>
    <t>% total kcal</t>
  </si>
  <si>
    <t>oz</t>
  </si>
  <si>
    <t>cup</t>
  </si>
  <si>
    <t>Total kcal</t>
  </si>
  <si>
    <t>Fat AMDR</t>
  </si>
  <si>
    <t>Orange vegetables</t>
  </si>
  <si>
    <t>Dry beans &amp; peas</t>
  </si>
  <si>
    <t>Fruit</t>
  </si>
  <si>
    <t>Meat &amp; beans</t>
  </si>
  <si>
    <t>Oil</t>
  </si>
  <si>
    <t>Discretionary</t>
  </si>
  <si>
    <t>For complete details on these calculations see the following workbook:</t>
  </si>
  <si>
    <t>Hominy and grits</t>
  </si>
  <si>
    <t>Cornstarch</t>
  </si>
  <si>
    <t>Rye Flour</t>
  </si>
  <si>
    <t>Oat products</t>
  </si>
  <si>
    <t>Barley products</t>
  </si>
  <si>
    <t>Preparation</t>
  </si>
  <si>
    <t>White &amp; Whole flour</t>
  </si>
  <si>
    <t>Durum flour</t>
  </si>
  <si>
    <t>Corn flour and meal</t>
  </si>
  <si>
    <t>NA</t>
  </si>
  <si>
    <t>Ounces</t>
  </si>
  <si>
    <t>Preference relative to other foods in group</t>
  </si>
  <si>
    <t>This worksheet reports consumers "preference" for foods based on the Loss-adjusted Food Supply Data from USDA Economic Research Service. Estimated per capita "intake" (disappearance - food system losses) is reported by food commodity. Values shown are a three-year average for the years 2006-2008. The relative preference for individual commodities within a food group is derived from the per capita consumption.</t>
  </si>
  <si>
    <t>NNDB Description</t>
  </si>
  <si>
    <t>n/a</t>
  </si>
  <si>
    <t>Serving description</t>
  </si>
  <si>
    <t>Serving size (g)</t>
  </si>
  <si>
    <t>Water (g/serving)</t>
  </si>
  <si>
    <t>Energy (kcal/serving)</t>
  </si>
  <si>
    <t>Protein (g/serving)</t>
  </si>
  <si>
    <t>Lipid (g/serving)</t>
  </si>
  <si>
    <t>Carbohydrate (g/serving)</t>
  </si>
  <si>
    <t>Sugars (g/serving)</t>
  </si>
  <si>
    <t>Saturated fat (g/serving)</t>
  </si>
  <si>
    <t>Cholesterol (mg/serving)</t>
  </si>
  <si>
    <t>Dark Green Leafy Vegetables</t>
  </si>
  <si>
    <t>Broccoli</t>
  </si>
  <si>
    <t>Collard Greens</t>
  </si>
  <si>
    <t>Escarole /endive</t>
  </si>
  <si>
    <t>Kale</t>
  </si>
  <si>
    <t>Romaine &amp; Leaf Lettuce</t>
  </si>
  <si>
    <t>Mustard Greens</t>
  </si>
  <si>
    <t>Spinach</t>
  </si>
  <si>
    <t>Turnip greens</t>
  </si>
  <si>
    <t>1 cup</t>
  </si>
  <si>
    <t>Carrots</t>
  </si>
  <si>
    <t>Pumpkin</t>
  </si>
  <si>
    <t>Winter Squash</t>
  </si>
  <si>
    <t>Sweet Potatoes</t>
  </si>
  <si>
    <t>Dry Bean &amp; Peas</t>
  </si>
  <si>
    <t>Dry edible beans</t>
  </si>
  <si>
    <t>Dry peas and lentils</t>
  </si>
  <si>
    <t>Cooked from dry</t>
  </si>
  <si>
    <t>Starchy Vegetables</t>
  </si>
  <si>
    <t>Lima beans</t>
  </si>
  <si>
    <t>Potatoes</t>
  </si>
  <si>
    <t>Sweet Corn</t>
  </si>
  <si>
    <t>Green Peas</t>
  </si>
  <si>
    <t>Other Vegetables</t>
  </si>
  <si>
    <t>Artichokes</t>
  </si>
  <si>
    <t>Asparagus</t>
  </si>
  <si>
    <t>Bell peppers</t>
  </si>
  <si>
    <t>Brussels sprouts</t>
  </si>
  <si>
    <t>Cabbage</t>
  </si>
  <si>
    <t>Cauliflower</t>
  </si>
  <si>
    <t>Celery</t>
  </si>
  <si>
    <t>Chilly Peppers</t>
  </si>
  <si>
    <t>Cucumbers</t>
  </si>
  <si>
    <t>Eggplant</t>
  </si>
  <si>
    <t>Garlic</t>
  </si>
  <si>
    <t>Head lettuce</t>
  </si>
  <si>
    <t>Mushrooms</t>
  </si>
  <si>
    <t>Okra</t>
  </si>
  <si>
    <t>Onions</t>
  </si>
  <si>
    <t>Radishes</t>
  </si>
  <si>
    <t>Snap beans</t>
  </si>
  <si>
    <t>Summer Squa</t>
  </si>
  <si>
    <t>Tomatoes</t>
  </si>
  <si>
    <t>cups</t>
  </si>
  <si>
    <t>Citrus</t>
  </si>
  <si>
    <t>Orange</t>
  </si>
  <si>
    <t>Grapefruit</t>
  </si>
  <si>
    <t>Lemons</t>
  </si>
  <si>
    <t>Limes</t>
  </si>
  <si>
    <t>Tangerines</t>
  </si>
  <si>
    <t>Non-Citrus</t>
  </si>
  <si>
    <t>Apples</t>
  </si>
  <si>
    <t>Apples &amp; Applesauce</t>
  </si>
  <si>
    <t>Apricots</t>
  </si>
  <si>
    <t>Avocados</t>
  </si>
  <si>
    <t>Bananas</t>
  </si>
  <si>
    <t>Blackberries</t>
  </si>
  <si>
    <t>Blueberries</t>
  </si>
  <si>
    <t>Cantaloup</t>
  </si>
  <si>
    <t>Cherries</t>
  </si>
  <si>
    <t>Cranberries</t>
  </si>
  <si>
    <t>Dates</t>
  </si>
  <si>
    <t>Figs</t>
  </si>
  <si>
    <t>Grapes</t>
  </si>
  <si>
    <t>Honeydew melons</t>
  </si>
  <si>
    <t>Kiwifruit</t>
  </si>
  <si>
    <t>Mangoes</t>
  </si>
  <si>
    <t>Olives</t>
  </si>
  <si>
    <t>Peaches</t>
  </si>
  <si>
    <t>Pears</t>
  </si>
  <si>
    <t>Pineapple</t>
  </si>
  <si>
    <t>Papayas</t>
  </si>
  <si>
    <t>Plums</t>
  </si>
  <si>
    <t>Plums &amp; Prunes</t>
  </si>
  <si>
    <t>Prunes</t>
  </si>
  <si>
    <t>Raisins</t>
  </si>
  <si>
    <t>Raspberry</t>
  </si>
  <si>
    <t>Strawberries</t>
  </si>
  <si>
    <t>Watermelon</t>
  </si>
  <si>
    <t>plain whole</t>
  </si>
  <si>
    <t>plain 2 percent</t>
  </si>
  <si>
    <t>plain 1 percent</t>
  </si>
  <si>
    <t>plain skim</t>
  </si>
  <si>
    <t>flavored whole</t>
  </si>
  <si>
    <t>flavored lower fat</t>
  </si>
  <si>
    <t>yogurt</t>
  </si>
  <si>
    <t>cheddar</t>
  </si>
  <si>
    <t>Provolone</t>
  </si>
  <si>
    <t>Romano</t>
  </si>
  <si>
    <t>Parmesean</t>
  </si>
  <si>
    <t>Mozzarella</t>
  </si>
  <si>
    <t>Ricotta</t>
  </si>
  <si>
    <t>Swiss</t>
  </si>
  <si>
    <t>Brick</t>
  </si>
  <si>
    <t>Muenster</t>
  </si>
  <si>
    <t>Blue</t>
  </si>
  <si>
    <t>other</t>
  </si>
  <si>
    <t>regular</t>
  </si>
  <si>
    <t>lowfat</t>
  </si>
  <si>
    <t>ice cream</t>
  </si>
  <si>
    <t>lowfat ice cream</t>
  </si>
  <si>
    <t>canned whole</t>
  </si>
  <si>
    <t>bulk whole</t>
  </si>
  <si>
    <t>skim</t>
  </si>
  <si>
    <t>whole</t>
  </si>
  <si>
    <t>nonfat</t>
  </si>
  <si>
    <t>buttermilk</t>
  </si>
  <si>
    <t>half and half</t>
  </si>
  <si>
    <t>eggnog</t>
  </si>
  <si>
    <t>beverage milk</t>
  </si>
  <si>
    <t>American</t>
  </si>
  <si>
    <t>Italian</t>
  </si>
  <si>
    <t>Misc. Cheese</t>
  </si>
  <si>
    <t>cottage cheese</t>
  </si>
  <si>
    <t>frozen dairy</t>
  </si>
  <si>
    <t>evaporated and condensed milk</t>
  </si>
  <si>
    <t>dry milk</t>
  </si>
  <si>
    <t>beef</t>
  </si>
  <si>
    <t>veal</t>
  </si>
  <si>
    <t>pork</t>
  </si>
  <si>
    <t>lamb</t>
  </si>
  <si>
    <t xml:space="preserve">chicken </t>
  </si>
  <si>
    <t>turkey</t>
  </si>
  <si>
    <t>fish and shellfish</t>
  </si>
  <si>
    <t>shellfish</t>
  </si>
  <si>
    <t>salmon</t>
  </si>
  <si>
    <t>sardines</t>
  </si>
  <si>
    <t>tuna</t>
  </si>
  <si>
    <t>cured</t>
  </si>
  <si>
    <t>eggs</t>
  </si>
  <si>
    <t>peanuts</t>
  </si>
  <si>
    <t>coconuts</t>
  </si>
  <si>
    <t>almonds</t>
  </si>
  <si>
    <t>hazelnuts</t>
  </si>
  <si>
    <t>pecans</t>
  </si>
  <si>
    <t>walnuts</t>
  </si>
  <si>
    <t>macadamia nuts</t>
  </si>
  <si>
    <t>pistachios</t>
  </si>
  <si>
    <t>other nuts</t>
  </si>
  <si>
    <t>butter</t>
  </si>
  <si>
    <t>margarine</t>
  </si>
  <si>
    <t>lard</t>
  </si>
  <si>
    <t>edible beef tallow</t>
  </si>
  <si>
    <t>shortening</t>
  </si>
  <si>
    <t>salad and cooking oils</t>
  </si>
  <si>
    <t>other edible fats and oils</t>
  </si>
  <si>
    <t>light cream</t>
  </si>
  <si>
    <t>heavy cream</t>
  </si>
  <si>
    <t>sour cream</t>
  </si>
  <si>
    <t>cream cheese</t>
  </si>
  <si>
    <t>Refined Cane &amp; Beet Sugar</t>
  </si>
  <si>
    <t>HFCS</t>
  </si>
  <si>
    <t>Glucose</t>
  </si>
  <si>
    <t>Dextrose</t>
  </si>
  <si>
    <t>Edible syrups</t>
  </si>
  <si>
    <t>Honey</t>
  </si>
  <si>
    <t>tsp</t>
  </si>
  <si>
    <t>1 gram</t>
  </si>
  <si>
    <t>Weight basis</t>
  </si>
  <si>
    <t>Product weight</t>
  </si>
  <si>
    <t>Loss at consumer level -  Cooking loss &amp; uneaten food (%)</t>
  </si>
  <si>
    <t>Loss at consumer level - Nonedible Share (%)</t>
  </si>
  <si>
    <t>Loss from retail/institutional to consumer level (%)</t>
  </si>
  <si>
    <t>Loss primary to retail weight (%)</t>
  </si>
  <si>
    <t>This worksheet contains estimates of losses that occur from the production of primary food commodities to the retail level, from the retail/institutional level to the consumer level, and at the consumer level. These "losses" include waste and spoilage of food as well as the removal of inedible portions and some weight changes that occur due to shrinkage or processing. Data are from the USDA Economic Research Service (ERS) and are used in the tabulation of the Loss-Adjusted Food Supply Data maintained by ERS.</t>
  </si>
  <si>
    <t>Farm weight</t>
  </si>
  <si>
    <t>Fresh weight equivalent</t>
  </si>
  <si>
    <t>Carcass weight</t>
  </si>
  <si>
    <t>Edible weight</t>
  </si>
  <si>
    <t>Shelled weight</t>
  </si>
  <si>
    <t>Dessicated</t>
  </si>
  <si>
    <t>Dry weight</t>
  </si>
  <si>
    <t>Wheat, durum</t>
  </si>
  <si>
    <t>Wheat, white and red</t>
  </si>
  <si>
    <t>Rye</t>
  </si>
  <si>
    <t>Oats</t>
  </si>
  <si>
    <t>Barley</t>
  </si>
  <si>
    <t>fluid milk</t>
  </si>
  <si>
    <t>Sugar cane and sugar beet</t>
  </si>
  <si>
    <t>Weight basis, food</t>
  </si>
  <si>
    <t>Weight basis, ag</t>
  </si>
  <si>
    <t>Harvested weight</t>
  </si>
  <si>
    <t>Average of whole wheat and white flour</t>
  </si>
  <si>
    <t>Conversion (lbs product per lb farm commodity)</t>
  </si>
  <si>
    <t>Conversion (lbs farm commodity / lb product)</t>
  </si>
  <si>
    <t>Extraction rate of semolina, farina, and flour (see footnote 2 in Table 28 of AH697)</t>
  </si>
  <si>
    <t>Anhydrous, moisture-free</t>
  </si>
  <si>
    <t>Average of oat flour, oatmeal, and ready-to-eat cereal</t>
  </si>
  <si>
    <t>Average of barley flour, pearl barley, and malt</t>
  </si>
  <si>
    <t>Average of corn flour and non-degermed corn meal</t>
  </si>
  <si>
    <t>In-shell weight</t>
  </si>
  <si>
    <t>DAIRY CONVERSION TABLE</t>
  </si>
  <si>
    <t>Dairy product</t>
  </si>
  <si>
    <t>Milk fat content (percent)</t>
  </si>
  <si>
    <t>Milk non-fat solids (percent)</t>
  </si>
  <si>
    <t>Total milk solids (percent)</t>
  </si>
  <si>
    <t>cottage cheese, regular</t>
  </si>
  <si>
    <t>cottage cheese, lowfat</t>
  </si>
  <si>
    <t>other frozen deserts</t>
  </si>
  <si>
    <t>dry milk, whole</t>
  </si>
  <si>
    <t>dry milk, nonfat</t>
  </si>
  <si>
    <t>dry milk, buttermilk</t>
  </si>
  <si>
    <t>evaporated and condensed milk, canned whole</t>
  </si>
  <si>
    <t>evaporated and condensed milk, bulk whole</t>
  </si>
  <si>
    <t>evaporated and condensed milk, skim</t>
  </si>
  <si>
    <t>Used minimum milkfat and total milk solids standards. No commercial averages reported in Table 16 of AH-697.</t>
  </si>
  <si>
    <t>Values shown are for ice milk. Used minimum milkfat and total milk solids standards. No commercial averages reported in Table 16 of AH-697.</t>
  </si>
  <si>
    <t>Values shown are for sherbet. Used minimum milkfat and total milk solids standards. No commercial averages reported in Table 16 of AH-697.</t>
  </si>
  <si>
    <t>Average of evaporated and condensed milk.</t>
  </si>
  <si>
    <t>No value reported in AH-697. Assumed identical to low-fat milk.</t>
  </si>
  <si>
    <t>Derived based on minimum milkfat in solids and moisture percentage.</t>
  </si>
  <si>
    <t>cheese, other miscellaneous</t>
  </si>
  <si>
    <t>Average of Brick, Blue, Muenster, and Swiss</t>
  </si>
  <si>
    <t>No value reported in AH-697. Used data from NDB.</t>
  </si>
  <si>
    <t>Data on all lowfat milk aggregated in Table 16 of AH-697. Used values from NDB.</t>
  </si>
  <si>
    <t>Derived based on minimum milkfat in solids and moisture percentage. Values shown for whole milk mozzarella</t>
  </si>
  <si>
    <t>Milk fat in diet (lbs)</t>
  </si>
  <si>
    <t>Milk non-fat solids in diet (lbs)</t>
  </si>
  <si>
    <t>Total milk solids in diet (lbs)</t>
  </si>
  <si>
    <t>Per capita intake (lbs/yr)</t>
  </si>
  <si>
    <t>Per capita consumption - consumer level (lbs/yr)</t>
  </si>
  <si>
    <t>Per capita consumption - retail level (lbs/yr)</t>
  </si>
  <si>
    <t>Per capita consumption - primary level (lbs/yr)</t>
  </si>
  <si>
    <t>product weight</t>
  </si>
  <si>
    <t>fat content</t>
  </si>
  <si>
    <t>Assumptions</t>
  </si>
  <si>
    <t>Skim solids (%)</t>
  </si>
  <si>
    <t>Milk consumption</t>
  </si>
  <si>
    <t>Milkfat basis</t>
  </si>
  <si>
    <t>Skim solids basis</t>
  </si>
  <si>
    <t>Total solids (%)</t>
  </si>
  <si>
    <t>Total solids basis</t>
  </si>
  <si>
    <t>Milk equivalents (lbs)</t>
  </si>
  <si>
    <t>Fat content (%)</t>
  </si>
  <si>
    <t>Sum of above values</t>
  </si>
  <si>
    <t>Conversion, primary to farm weight (lbs farm per lb primary product)</t>
  </si>
  <si>
    <t>Conversion, primary to farm weight (lbs primary product per lb farm weight)</t>
  </si>
  <si>
    <t>Live weight</t>
  </si>
  <si>
    <r>
      <t xml:space="preserve">This worksheet contains estimates of the conversion factors needed to estimate the quantity of agricultural commodities required to produce each primary food commodity. Data come principally from USDA-ERS Agricultural Handbook 697: </t>
    </r>
    <r>
      <rPr>
        <i/>
        <sz val="10"/>
        <color theme="1"/>
        <rFont val="Arial"/>
        <family val="2"/>
      </rPr>
      <t>Weights, Measures, and Conversion Factors for Agricultural Commodities and their Products</t>
    </r>
    <r>
      <rPr>
        <sz val="10"/>
        <color theme="1"/>
        <rFont val="Arial"/>
        <family val="2"/>
      </rPr>
      <t xml:space="preserve"> (ERS, 1992).</t>
    </r>
  </si>
  <si>
    <t>Chile Peppers</t>
  </si>
  <si>
    <t>Lettuce-Head</t>
  </si>
  <si>
    <t>Lettuce-Leaf</t>
  </si>
  <si>
    <t>Lettuce-Romaine</t>
  </si>
  <si>
    <t>Melons-Cantaloups</t>
  </si>
  <si>
    <t>Melons-Honeydew</t>
  </si>
  <si>
    <t>Melons-Watermelon</t>
  </si>
  <si>
    <t>Pecans</t>
  </si>
  <si>
    <t>cwt/acre</t>
  </si>
  <si>
    <t>tons/acre</t>
  </si>
  <si>
    <t>Whole and refined grains</t>
  </si>
  <si>
    <t>All fruit</t>
  </si>
  <si>
    <t>All dairy</t>
  </si>
  <si>
    <t>All sweeteners</t>
  </si>
  <si>
    <t>meat oz equivalents</t>
  </si>
  <si>
    <t>grams</t>
  </si>
  <si>
    <t>All protein foods</t>
  </si>
  <si>
    <t>no recommendation</t>
  </si>
  <si>
    <t>Loss adjustment factor, consumer level -  Cooking loss &amp; uneaten food</t>
  </si>
  <si>
    <t>Loss adjustment factor, consumer level - Nonedible Share</t>
  </si>
  <si>
    <t>Loss adjustment factor, retail/institutional to consumer level</t>
  </si>
  <si>
    <t>Loss adjustment factor, primary to retail weight</t>
  </si>
  <si>
    <t>Ag commodities required (lbs/yr)</t>
  </si>
  <si>
    <t>Soybean meal</t>
  </si>
  <si>
    <t>Corn silage</t>
  </si>
  <si>
    <t>FOOD REQUIREMENTS</t>
  </si>
  <si>
    <t>This worksheet contains the calculation of food intake, consumption of primary food commodities, and consumption of agricultural commodities for the diet being analyzed. All calculations are based on data from the previous worksheets on the user's diet, food preferences, food composition, losses and waste, and processing conversions.</t>
  </si>
  <si>
    <t>Corn grain</t>
  </si>
  <si>
    <t>Total fluid milk, dairy food group</t>
  </si>
  <si>
    <t>Grazing land</t>
  </si>
  <si>
    <t>Total dairy fats</t>
  </si>
  <si>
    <t>Land category</t>
  </si>
  <si>
    <t>TOTALS</t>
  </si>
  <si>
    <t>Population fed</t>
  </si>
  <si>
    <t>Permanent pasture and range</t>
  </si>
  <si>
    <t>Total vegetables</t>
  </si>
  <si>
    <t>Protein rich foods</t>
  </si>
  <si>
    <t>Weight of dried product in serving</t>
  </si>
  <si>
    <t>cooked</t>
  </si>
  <si>
    <t>Dry beans</t>
  </si>
  <si>
    <t>Fat</t>
  </si>
  <si>
    <t>Carbohydrate</t>
  </si>
  <si>
    <t>Total energy</t>
  </si>
  <si>
    <t>Kcal/day</t>
  </si>
  <si>
    <t>g/day</t>
  </si>
  <si>
    <t>This worksheet allows a user to enter the intake values for a diet of interest and see a summary of the land requirements, carrying capacity, and nutrient macronutrient composition.</t>
  </si>
  <si>
    <t>DIET ASSUMPTIONS</t>
  </si>
  <si>
    <t>(persons)</t>
  </si>
  <si>
    <t>(acres)</t>
  </si>
  <si>
    <t>(% of available)</t>
  </si>
  <si>
    <t>Carrying capacity</t>
  </si>
  <si>
    <t>Land used</t>
  </si>
  <si>
    <t>Dietary nutrient summary</t>
  </si>
  <si>
    <t xml:space="preserve">This worksheet tabulates the land requirements for each food in the diet based on the total quantity of agricultural commodities required to support the diet and the yields of the respective crops. </t>
  </si>
  <si>
    <t xml:space="preserve">  Dark green vegetables</t>
  </si>
  <si>
    <t xml:space="preserve">  Dry beans, lentils, and peas</t>
  </si>
  <si>
    <t xml:space="preserve">  Starchy vegetables</t>
  </si>
  <si>
    <t xml:space="preserve">  Other vegetables</t>
  </si>
  <si>
    <t xml:space="preserve">  Nuts</t>
  </si>
  <si>
    <t xml:space="preserve">  Beef</t>
  </si>
  <si>
    <t xml:space="preserve">  Chicken</t>
  </si>
  <si>
    <t xml:space="preserve">  Pork</t>
  </si>
  <si>
    <t xml:space="preserve">  Eggs</t>
  </si>
  <si>
    <t xml:space="preserve">  Fish</t>
  </si>
  <si>
    <t>Step 1 Kellogg_WeightedAvg_with2010census.xlsx</t>
  </si>
  <si>
    <t>Grains -- User Defined</t>
  </si>
  <si>
    <t>Dark Green Leafy Vegetables -- User Defined</t>
  </si>
  <si>
    <t>Orange Vegetables -- User Defined</t>
  </si>
  <si>
    <t>Starchy Vegetables -- User Defined</t>
  </si>
  <si>
    <t>Other Vegetables -- User Defined</t>
  </si>
  <si>
    <t>Citrus -- User Defined</t>
  </si>
  <si>
    <t>Non-Citrus -- User Defined</t>
  </si>
  <si>
    <t>Protein rich foods -- User Defined</t>
  </si>
  <si>
    <t>Added fats -- User Defined</t>
  </si>
  <si>
    <t>Sweeteners -- User Defined</t>
  </si>
  <si>
    <t>This worksheet contains estimates of the nutritional composition of each primary food commodity. Values are reported for the following nutrients: water, total energy, protein, lipids, carbohydrates, sugars, saturated fats, and cholesterol. Data were obtained from the USDA Nutrient Database for Standard Reference.  User defined rows allow additional foods with their nutritional information to be added to this model.</t>
  </si>
  <si>
    <t>Added fats --User Defined</t>
  </si>
  <si>
    <t>Food intake (servings/day/person)</t>
  </si>
  <si>
    <t>Food intake (grams/day/person)</t>
  </si>
  <si>
    <t>Primary food commodities required (grams/day/person)</t>
  </si>
  <si>
    <t>Ag commodities required (grams/day/person)</t>
  </si>
  <si>
    <t>Ag commodities required (grams/yr/person)</t>
  </si>
  <si>
    <t>Ag commodities required (lbs/yr/person)</t>
  </si>
  <si>
    <t>This worksheet reports the mean per capita daily dietary recommendations for the population of each state. The mean values are based on the MyPyramid (Food Planner) recommendations for each age-gender category and the demographic distribution of the population. Recommendations assume an activity level of 30-60 minutes per day.</t>
  </si>
  <si>
    <t>Corn oil (refined)</t>
  </si>
  <si>
    <t>Olive oil</t>
  </si>
  <si>
    <t>Soybean oil (refined)</t>
  </si>
  <si>
    <t>Peanut oil (refined)</t>
  </si>
  <si>
    <t>Key</t>
  </si>
  <si>
    <t>No Data</t>
  </si>
  <si>
    <t>Only production data available -- missing acres and yield</t>
  </si>
  <si>
    <t>U.S. Yield</t>
  </si>
  <si>
    <t>Util</t>
  </si>
  <si>
    <t>Usage</t>
  </si>
  <si>
    <t>Season</t>
  </si>
  <si>
    <t>Commodity</t>
  </si>
  <si>
    <t>Commodity_Code</t>
  </si>
  <si>
    <t>Yield unit per acre</t>
  </si>
  <si>
    <t>2000 Survey</t>
  </si>
  <si>
    <t>2001 Survey</t>
  </si>
  <si>
    <t>2003 Survey</t>
  </si>
  <si>
    <t>2004 Survey</t>
  </si>
  <si>
    <t>2005 Survey</t>
  </si>
  <si>
    <t>2006 Survey</t>
  </si>
  <si>
    <t>2008 Survey</t>
  </si>
  <si>
    <t>2009 Survey</t>
  </si>
  <si>
    <t>2010 Survey</t>
  </si>
  <si>
    <t>2011 Survey</t>
  </si>
  <si>
    <t>All</t>
  </si>
  <si>
    <t>Jan 1 - Dec 31</t>
  </si>
  <si>
    <t>Artichoke</t>
  </si>
  <si>
    <t>Fresh</t>
  </si>
  <si>
    <t>Processing</t>
  </si>
  <si>
    <t>Canned</t>
  </si>
  <si>
    <t>Frozen</t>
  </si>
  <si>
    <t>Beans-Lima</t>
  </si>
  <si>
    <t>Beans-Snap</t>
  </si>
  <si>
    <t>Brussels Sprouts</t>
  </si>
  <si>
    <t>Collards</t>
  </si>
  <si>
    <t>Corn-Sweet</t>
  </si>
  <si>
    <t>Egg Plant</t>
  </si>
  <si>
    <t>Escarole/Endive</t>
  </si>
  <si>
    <t>Peas-Green</t>
  </si>
  <si>
    <t>Peppers-Bell</t>
  </si>
  <si>
    <t>Pumpkins</t>
  </si>
  <si>
    <t>Squash</t>
  </si>
  <si>
    <t>Turnip Greens</t>
  </si>
  <si>
    <t xml:space="preserve">     Black (OR)</t>
  </si>
  <si>
    <t xml:space="preserve">     Red</t>
  </si>
  <si>
    <t xml:space="preserve">     All (CA)</t>
  </si>
  <si>
    <t>Cherries, Sweet</t>
  </si>
  <si>
    <t>Cherries, Tart</t>
  </si>
  <si>
    <t>Dates (CA)</t>
  </si>
  <si>
    <t>Figs (CA)</t>
  </si>
  <si>
    <t>Kiwifruit (CA)</t>
  </si>
  <si>
    <t>Nectarines</t>
  </si>
  <si>
    <t>Olives (CA)</t>
  </si>
  <si>
    <t>Plums (CA)</t>
  </si>
  <si>
    <t>Prunes (CA)</t>
  </si>
  <si>
    <t>Hazelnuts (OR)</t>
  </si>
  <si>
    <t>Macadamias (HI)</t>
  </si>
  <si>
    <t>Pistachios (CA)</t>
  </si>
  <si>
    <t>Walnuts (CA)</t>
  </si>
  <si>
    <t>Early, Midseason, &amp; Navel Oranges</t>
  </si>
  <si>
    <t>Valencia Oranges</t>
  </si>
  <si>
    <t>All Oranges</t>
  </si>
  <si>
    <t>Tangerines &amp; Mandarins</t>
  </si>
  <si>
    <t>Tangelos</t>
  </si>
  <si>
    <t>Calculated (derived) Data</t>
  </si>
  <si>
    <t>BARLEY - YIELD</t>
  </si>
  <si>
    <t>BEANS, DRY EDIBLE - YIELD, MEASURED IN LB / ACRE</t>
  </si>
  <si>
    <t>BEANS, DRY EDIBLE, BLACK - YIELD, MEASURED IN LB / ACRE</t>
  </si>
  <si>
    <t>BEANS, DRY EDIBLE, BLACKEYE - YIELD, MEASURED IN LB / ACRE</t>
  </si>
  <si>
    <t>BEANS, DRY EDIBLE, CHICKPEAS - YIELD, MEASURED IN LB / ACRE</t>
  </si>
  <si>
    <t>BEANS, DRY EDIBLE, CHICKPEAS, LARGE - YIELD, MEASURED IN LB / ACRE</t>
  </si>
  <si>
    <t>BEANS, DRY EDIBLE, CHICKPEAS, SMALL - YIELD, MEASURED IN LB / ACRE</t>
  </si>
  <si>
    <t>BEANS, DRY EDIBLE, CRANBERRY - YIELD, MEASURED IN LB / ACRE</t>
  </si>
  <si>
    <t>BEANS, DRY EDIBLE, DARK, RED, KIDNEY - YIELD, MEASURED IN LB / ACRE</t>
  </si>
  <si>
    <t>BEANS, DRY EDIBLE, GREAT NORTHERN - YIELD, MEASURED IN LB / ACRE</t>
  </si>
  <si>
    <t>BEANS, DRY EDIBLE, LIGHT, RED, KIDNEY - YIELD, MEASURED IN LB / ACRE</t>
  </si>
  <si>
    <t>BEANS, DRY EDIBLE, LIMA, BABY - YIELD, MEASURED IN LB / ACRE</t>
  </si>
  <si>
    <t>BEANS, DRY EDIBLE, LIMA, LARGE - YIELD, MEASURED IN LB / ACRE</t>
  </si>
  <si>
    <t>BEANS, DRY EDIBLE, NAVY - YIELD, MEASURED IN LB / ACRE</t>
  </si>
  <si>
    <t>BEANS, DRY EDIBLE, OTHER - YIELD, MEASURED IN LB / ACRE</t>
  </si>
  <si>
    <t>BEANS, DRY EDIBLE, PINK - YIELD, MEASURED IN LB / ACRE</t>
  </si>
  <si>
    <t>BEANS, DRY EDIBLE, PINTO - YIELD, MEASURED IN LB / ACRE</t>
  </si>
  <si>
    <t>BEANS, DRY EDIBLE, SMALL, RED - YIELD, MEASURED IN LB / ACRE</t>
  </si>
  <si>
    <t>BEANS, DRY EDIBLE, SMALL, WHITE - YIELD, MEASURED IN LB / ACRE</t>
  </si>
  <si>
    <t>CANOLA - YIELD, MEASURED IN LB / ACRE</t>
  </si>
  <si>
    <t>CORN, GRAIN - YIELD, MEASURED IN BU / ACRE</t>
  </si>
  <si>
    <t>CORN, SILAGE - YIELD, MEASURED IN TONS / ACRE</t>
  </si>
  <si>
    <t>FORAGE (EXCL ALFALFA), HAY &amp; HAYLAGE - YIELD, MEASURED IN TONS / ACRE, DRY BASIS</t>
  </si>
  <si>
    <t>FORAGE, ALFALFA, HAY - YIELD, MEASURED IN TONS / ACRE</t>
  </si>
  <si>
    <t>LENTILS - YIELD, MEASURED IN LB / ACRE</t>
  </si>
  <si>
    <t>OATS - YIELD, MEASURED IN BU / ACRE</t>
  </si>
  <si>
    <t>PEANUTS - YIELD, MEASURED IN LB / ACRE</t>
  </si>
  <si>
    <t>PEAS, DRY EDIBLE - YIELD, MEASURED IN LB / ACRE</t>
  </si>
  <si>
    <t>POTATOES - YIELD, MEASURED IN CWT / ACRE</t>
  </si>
  <si>
    <t>RICE - YIELD, MEASURED IN LB / ACRE</t>
  </si>
  <si>
    <t>RYE - YIELD, MEASURED IN BU / ACRE</t>
  </si>
  <si>
    <t>SOYBEANS - YIELD, MEASURED IN BU / ACRE</t>
  </si>
  <si>
    <t>SUGARBEETS - YIELD, MEASURED IN TONS / ACRE</t>
  </si>
  <si>
    <t>SUGARCANE, SUGAR - YIELD, MEASURED IN TONS / ACRE</t>
  </si>
  <si>
    <t>WHEAT - YIELD, MEASURED IN BU / ACRE</t>
  </si>
  <si>
    <t>WHEAT, SPRING (EXCL DURUM) - YIELD, MEASURED IN BU / ACRE</t>
  </si>
  <si>
    <t>WHEAT, SPRING, DURUM - YIELD, MEASURED IN BU / ACRE</t>
  </si>
  <si>
    <t>WHEAT, WINTER - YIELD, MEASURED IN BU / ACRE</t>
  </si>
  <si>
    <t>2002 Survey or Census</t>
  </si>
  <si>
    <t>2007 Survey or Census</t>
  </si>
  <si>
    <t>AVERAGE [LB/AC]</t>
  </si>
  <si>
    <t>AVERAGE [units as reported]</t>
  </si>
  <si>
    <t>Conversions</t>
  </si>
  <si>
    <t>ERS 1992 publication Table 5</t>
  </si>
  <si>
    <t>Table 6 ERS 1992 publication</t>
  </si>
  <si>
    <t>Conversion Source</t>
  </si>
  <si>
    <t>lbs per bushel</t>
  </si>
  <si>
    <t>DEFINED NAME</t>
  </si>
  <si>
    <t>Defined name to use within workbook</t>
  </si>
  <si>
    <t>Durum_Wheat</t>
  </si>
  <si>
    <t>Dried</t>
  </si>
  <si>
    <t>DeHydrated</t>
  </si>
  <si>
    <t>Dehydrated</t>
  </si>
  <si>
    <t>Broccoli_All</t>
  </si>
  <si>
    <t>Collard_Greens</t>
  </si>
  <si>
    <t>Escrole</t>
  </si>
  <si>
    <t>Mustard_Greens</t>
  </si>
  <si>
    <t>Spinach_Frozen</t>
  </si>
  <si>
    <t>Spinach_Fresh</t>
  </si>
  <si>
    <t>Turnip_Greens</t>
  </si>
  <si>
    <t>Carrots_Fresh</t>
  </si>
  <si>
    <t>Carrots_Processed</t>
  </si>
  <si>
    <t>Squash_All</t>
  </si>
  <si>
    <t>Green_Peas_Canned</t>
  </si>
  <si>
    <t>Green_Peas_Frozen</t>
  </si>
  <si>
    <t>Potatoes_All</t>
  </si>
  <si>
    <t>Corn_Sweet</t>
  </si>
  <si>
    <t>Corn_Canned</t>
  </si>
  <si>
    <t>Corn_Frozen</t>
  </si>
  <si>
    <t>Asparagus_All</t>
  </si>
  <si>
    <t>Bell_Peppers</t>
  </si>
  <si>
    <t>Brussels_Sprouts</t>
  </si>
  <si>
    <t>Cabbage_Fresh</t>
  </si>
  <si>
    <t>Cabbage_Processed</t>
  </si>
  <si>
    <t>Cauliflower_All</t>
  </si>
  <si>
    <t>Chile_Peppers</t>
  </si>
  <si>
    <t>Cucumbers_Fresh</t>
  </si>
  <si>
    <t>Cucumbers_Processed</t>
  </si>
  <si>
    <t>Lettuce_Head</t>
  </si>
  <si>
    <t>Lettuce_Romaine</t>
  </si>
  <si>
    <t>Onions_All</t>
  </si>
  <si>
    <t>Radish</t>
  </si>
  <si>
    <t>Beans_Snap_Fresh</t>
  </si>
  <si>
    <t>Beans_Snap_Canned</t>
  </si>
  <si>
    <t>Beans_Snap_Frozen</t>
  </si>
  <si>
    <t>Tomatoes_Fresh</t>
  </si>
  <si>
    <t>Tomatoes_Processed</t>
  </si>
  <si>
    <t>Juice</t>
  </si>
  <si>
    <t>Orange_All</t>
  </si>
  <si>
    <t>Avocado</t>
  </si>
  <si>
    <t>Banana</t>
  </si>
  <si>
    <t>Melons_Cantaloup</t>
  </si>
  <si>
    <t>Cherries_Sweet</t>
  </si>
  <si>
    <t>Cherries_Tart</t>
  </si>
  <si>
    <t>Melons_Honeydew</t>
  </si>
  <si>
    <t>Melons_Watermelon</t>
  </si>
  <si>
    <t>Raspberries</t>
  </si>
  <si>
    <t>Beans_Lima_Fresh</t>
  </si>
  <si>
    <t>Beans_Lima_Frozen</t>
  </si>
  <si>
    <t>Sweet_Potatoes</t>
  </si>
  <si>
    <t>-</t>
  </si>
  <si>
    <t>California Raisins</t>
  </si>
  <si>
    <t>Layers (eggs)</t>
  </si>
  <si>
    <t>Broilers (chicken meat)</t>
  </si>
  <si>
    <t>Turkeys (turkey meat)</t>
  </si>
  <si>
    <t>Beef Cattle</t>
  </si>
  <si>
    <t>Dairy (whole milk)</t>
  </si>
  <si>
    <t>Swine (pork)</t>
  </si>
  <si>
    <t>Corn Grain</t>
  </si>
  <si>
    <t>Soybean Meal</t>
  </si>
  <si>
    <t>Medium Maturity Grass Hay</t>
  </si>
  <si>
    <t>Alfalfa Haylage</t>
  </si>
  <si>
    <t>Corn Silage</t>
  </si>
  <si>
    <t>Feed to Crop Conversions</t>
  </si>
  <si>
    <t>lb crop per lb feed</t>
  </si>
  <si>
    <t>Almonds</t>
  </si>
  <si>
    <t>Hazelnuts</t>
  </si>
  <si>
    <t>Macadamias</t>
  </si>
  <si>
    <t>Pistachios</t>
  </si>
  <si>
    <t>Walnuts</t>
  </si>
  <si>
    <t>[lb feed/                     lb carcass weight]</t>
  </si>
  <si>
    <t>Livestock class (final product = retail weight = edible boneless meat, raw whole eggs in shell, and raw whole milk)</t>
  </si>
  <si>
    <t>[lb feed/                       lb retail weight]</t>
  </si>
  <si>
    <t>[lb feed/                lb liveweight]</t>
  </si>
  <si>
    <t>Corn_Silage</t>
  </si>
  <si>
    <t>Soybeans</t>
  </si>
  <si>
    <t>Daily per capita consumption U.S. [servings/day]</t>
  </si>
  <si>
    <t>Serving Size</t>
  </si>
  <si>
    <t xml:space="preserve">Agricultural commodity </t>
  </si>
  <si>
    <t>Ag Commodity Definition</t>
  </si>
  <si>
    <t>White &amp; Whole Wheat</t>
  </si>
  <si>
    <t>Durum Wheat</t>
  </si>
  <si>
    <t>Escarole</t>
  </si>
  <si>
    <t>Romaine Lettuce</t>
  </si>
  <si>
    <t>Turnip Green</t>
  </si>
  <si>
    <t>Edible Beans Avg</t>
  </si>
  <si>
    <t>Lentils &amp; Peas</t>
  </si>
  <si>
    <t>Lima Beans</t>
  </si>
  <si>
    <t>Bell Pepper</t>
  </si>
  <si>
    <t>Weighted average based on recovery rates and acreage data from Mr. Stephen Haley with ERS (JP Mar 2012)</t>
  </si>
  <si>
    <t>Sugarcane &amp; beet</t>
  </si>
  <si>
    <t>Squash (all)</t>
  </si>
  <si>
    <t>Peanuts</t>
  </si>
  <si>
    <t>Fish &amp; shellfish</t>
  </si>
  <si>
    <t>Salmon</t>
  </si>
  <si>
    <t>Sardines</t>
  </si>
  <si>
    <t>Tuna</t>
  </si>
  <si>
    <t>Shellfish</t>
  </si>
  <si>
    <t>Other Seafood</t>
  </si>
  <si>
    <t>Cured Seafood</t>
  </si>
  <si>
    <t>Coconuts</t>
  </si>
  <si>
    <t>Macadamia Nuts</t>
  </si>
  <si>
    <t>Other Nuts</t>
  </si>
  <si>
    <t xml:space="preserve">  Turkey</t>
  </si>
  <si>
    <t>updated March 2012 JP</t>
  </si>
  <si>
    <t>Cottonseed</t>
  </si>
  <si>
    <t>Canola (edible rapeseed) oil</t>
  </si>
  <si>
    <t>Soybean, Cottonseed, Corn, Peanut, edible rapeseed (no olive)</t>
  </si>
  <si>
    <t>Source</t>
  </si>
  <si>
    <t>ton/acre</t>
  </si>
  <si>
    <t>Soybeans, cottonseed, corn, edible rapseed, (no peanut), and olive</t>
  </si>
  <si>
    <t>Canola</t>
  </si>
  <si>
    <t>Raw Sap to Maple Syrup</t>
  </si>
  <si>
    <t>Raw milk from cow consumption of Grasses other than alfalfa</t>
  </si>
  <si>
    <t>Raw milk from cow consumption of Corn</t>
  </si>
  <si>
    <t>Raw milk produced from cow consumption of Alfalfa Haylage</t>
  </si>
  <si>
    <t>Alfalfa hay/haylage</t>
  </si>
  <si>
    <t>Raw milk from cow consumption of Soybeans</t>
  </si>
  <si>
    <t>Liveweight beef animal fed grasses other than alfalfa</t>
  </si>
  <si>
    <t>Liveweight beef animal fed with pasture</t>
  </si>
  <si>
    <t>Liveweight beef animal fed corn</t>
  </si>
  <si>
    <t>Liveweight beef animal fed soybeans</t>
  </si>
  <si>
    <t>Liveweight pig animal fed corn</t>
  </si>
  <si>
    <t>Liveweight pig animal fed soybeans</t>
  </si>
  <si>
    <t>Liveweight chicken animal fed corn</t>
  </si>
  <si>
    <t>Liveweight chicken animal fed soybeans</t>
  </si>
  <si>
    <t>Liveweight turkey animal fed corn</t>
  </si>
  <si>
    <t>Liveweight turkey animal fed soybeans</t>
  </si>
  <si>
    <t>Raw egg from chicken fed corn</t>
  </si>
  <si>
    <t>Raw egg from chicken fed soybeans</t>
  </si>
  <si>
    <t>Byproduct of pork production</t>
  </si>
  <si>
    <t>Animal Fats (avg. of the two above)</t>
  </si>
  <si>
    <t>Average of lard and beef tallow</t>
  </si>
  <si>
    <t>Soybean,  Corn,  Animal Fats</t>
  </si>
  <si>
    <t>Lard</t>
  </si>
  <si>
    <t>Edible Tallow</t>
  </si>
  <si>
    <t>See above</t>
  </si>
  <si>
    <t>dairy-beef</t>
  </si>
  <si>
    <t>Liveweight dairy-beef animal fed grasses other than alfalfa</t>
  </si>
  <si>
    <t>Liveweight dairy-beef animal fed corn</t>
  </si>
  <si>
    <t>Liveweight dairy-beef animal fed soybeans</t>
  </si>
  <si>
    <t>Data Source for Conversion Factors</t>
  </si>
  <si>
    <t>=1.6/56</t>
  </si>
  <si>
    <t>N/A</t>
  </si>
  <si>
    <t>User-identified</t>
  </si>
  <si>
    <t>Calculation of Proportions of Dairy Beef and Dedicated Beef</t>
  </si>
  <si>
    <t>Parameter and units</t>
  </si>
  <si>
    <t>Value in fluid milk equivalents from all dairy products.</t>
  </si>
  <si>
    <t>Milk production (lbs/cow/year)</t>
  </si>
  <si>
    <t>From Livestock Requirements workbook.</t>
  </si>
  <si>
    <t>Value in boneless meat equivalents at primary processing level.</t>
  </si>
  <si>
    <t>Beef production per dairy cow (lbs boneless meat/year)</t>
  </si>
  <si>
    <t>Beef production per milking cows needed  (lbs boneless meat per capita/year)</t>
  </si>
  <si>
    <t>Based on number of milking cows needed per capita.</t>
  </si>
  <si>
    <t>Ratio, area available for grazing to area available for perennial cropland</t>
  </si>
  <si>
    <t>Ratio, yield of perennial cropland to yield of grazing land</t>
  </si>
  <si>
    <t>Area required, grazing</t>
  </si>
  <si>
    <t>Ratio, area required for grazing to area required for cropping hay</t>
  </si>
  <si>
    <t>Cropland to be shifted to grazing</t>
  </si>
  <si>
    <t>Grazing land offset</t>
  </si>
  <si>
    <t>Adjusted area, grazing</t>
  </si>
  <si>
    <t>Liveweight animal fed _____</t>
  </si>
  <si>
    <t>cropland pasture yield</t>
  </si>
  <si>
    <t>grazing land yield</t>
  </si>
  <si>
    <t>Chili Peppers</t>
  </si>
  <si>
    <t>Turkey</t>
  </si>
  <si>
    <t>Cultivated cropland</t>
  </si>
  <si>
    <t>Adjustments for multi-use crops (avoid double-counting)</t>
  </si>
  <si>
    <t>Adjustments to make full use of grazing resource</t>
  </si>
  <si>
    <t>Adjusted Totals</t>
  </si>
  <si>
    <t>Cultivated cropland requirements</t>
  </si>
  <si>
    <t>Perennial cropland requirements</t>
  </si>
  <si>
    <t>Grazing land requirements</t>
  </si>
  <si>
    <t>Area required, cropland</t>
  </si>
  <si>
    <t>Total cropland</t>
  </si>
  <si>
    <t>Grains - User defined</t>
  </si>
  <si>
    <t>Dark Green Leafy Vegetables - User defined</t>
  </si>
  <si>
    <t>Orange Vegetables - User defined</t>
  </si>
  <si>
    <t>Starchy Vegetables - User defined</t>
  </si>
  <si>
    <t>Other Vegetables - User defined</t>
  </si>
  <si>
    <t>Citrus - User defined</t>
  </si>
  <si>
    <t>Non-Citrus - User defined</t>
  </si>
  <si>
    <t>Protein rich foods - User defined</t>
  </si>
  <si>
    <t>Added fats - User defined</t>
  </si>
  <si>
    <t>Sweeteners - User defined</t>
  </si>
  <si>
    <t>Non-citrus - User Defined</t>
  </si>
  <si>
    <t>Soybean Oil component</t>
  </si>
  <si>
    <t>Cottonseed Oil component</t>
  </si>
  <si>
    <t>Corn Oil component</t>
  </si>
  <si>
    <t>Canola Oil component</t>
  </si>
  <si>
    <t>Olive Oil component</t>
  </si>
  <si>
    <t>Peanut Oil component</t>
  </si>
  <si>
    <t>Lard component, byproduct of pork production</t>
  </si>
  <si>
    <t>Edible beef tallow component, byproduct of beef production</t>
  </si>
  <si>
    <t>Byproduct of beef production</t>
  </si>
  <si>
    <t>(% of total USA pop)</t>
  </si>
  <si>
    <t xml:space="preserve">Dairy Beef </t>
  </si>
  <si>
    <t>Veal Beef --&gt; NA, already accounted</t>
  </si>
  <si>
    <t>Grazing land required (ac) using national average yields</t>
  </si>
  <si>
    <t>Liveweight dairy-beef animal fed alfalfa hay and haylage</t>
  </si>
  <si>
    <t>Liveweight dairy-beef animal fed corn silage</t>
  </si>
  <si>
    <t>Nonfat SoyMilk</t>
  </si>
  <si>
    <t>Soymilk</t>
  </si>
  <si>
    <t>Dairy Substitute - Vegan Option</t>
  </si>
  <si>
    <t>Nonfat Tofu</t>
  </si>
  <si>
    <t>Tofu</t>
  </si>
  <si>
    <t>Meat Substitute - Vegan Option</t>
  </si>
  <si>
    <t>Soymilk, original and vanilla, with added calcium, vitamins A and D</t>
  </si>
  <si>
    <t>Tofu, firm, prepared with calcium sulfate and magnesium chloride (nigari) #16126</t>
  </si>
  <si>
    <t>1/4 cup cooked</t>
  </si>
  <si>
    <t>fluid soymilk</t>
  </si>
  <si>
    <t>firm tofu</t>
  </si>
  <si>
    <t>Obtained conversion factor via personal communication with Ms. Melinda Anderson with the University of Illinios National Soybean Research Laboratory on Sept. 25, 2012 (Jpicardy)</t>
  </si>
  <si>
    <t>Obtained conversion factor via personal communication with Dr. Karl Weingartner with the University of Illinios National Soybean Research Laboratory on Oct. 30, 2012 (Jpicardy)</t>
  </si>
  <si>
    <t>Grazed forage (DM)</t>
  </si>
  <si>
    <t>Corn Silage (as-fed)</t>
  </si>
  <si>
    <t>Alfalfa Haylage               (as-fed)</t>
  </si>
  <si>
    <t>Corn Grain   (as-fed)</t>
  </si>
  <si>
    <t>Soybean Meal                    (as-fed)</t>
  </si>
  <si>
    <t>Medium Maturity Grass Hay          (as-fed)</t>
  </si>
  <si>
    <t>Feed Moisture Conversions</t>
  </si>
  <si>
    <r>
      <t>NASS Moisture Assumption</t>
    </r>
    <r>
      <rPr>
        <i/>
        <sz val="10"/>
        <color indexed="8"/>
        <rFont val="Times New Roman"/>
        <family val="1"/>
      </rPr>
      <t xml:space="preserve"> (provided by Travis Thorson, Jan. 17, 2013)</t>
    </r>
  </si>
  <si>
    <t>No standard used -- moisture will vary</t>
  </si>
  <si>
    <t>Conversion Factor from Dairy One to NASS</t>
  </si>
  <si>
    <t>Dairy One Dry Matter Assumption</t>
  </si>
  <si>
    <t xml:space="preserve">NASS DM Assumption </t>
  </si>
  <si>
    <t>margarine component - soybean oil</t>
  </si>
  <si>
    <t>margarine component - corn oil</t>
  </si>
  <si>
    <t>other component - soybean oil</t>
  </si>
  <si>
    <t>other component - cottonseed oil</t>
  </si>
  <si>
    <t>other component - peanut oil</t>
  </si>
  <si>
    <t>other component - canola oil</t>
  </si>
  <si>
    <t>other component - corn oil</t>
  </si>
  <si>
    <t>margarine component - animal fats from beef and pork</t>
  </si>
  <si>
    <t>shortening component - soybean oil</t>
  </si>
  <si>
    <t>shortening component - cottonseed oil</t>
  </si>
  <si>
    <t>shortening component - corn oil</t>
  </si>
  <si>
    <t xml:space="preserve">shortening component - lard </t>
  </si>
  <si>
    <t>shortening component - edible tallow</t>
  </si>
  <si>
    <t>salad oil component - soybean oil</t>
  </si>
  <si>
    <t>salad oil component - cottonseed oil</t>
  </si>
  <si>
    <t xml:space="preserve">salad oil component - corn oil </t>
  </si>
  <si>
    <t>salad oil component - canola oil</t>
  </si>
  <si>
    <t>salad oil component - olive oil</t>
  </si>
  <si>
    <t>Chart categories</t>
  </si>
  <si>
    <t xml:space="preserve">male </t>
  </si>
  <si>
    <t>0 to&lt;6 months</t>
  </si>
  <si>
    <t>6 months to &lt; 2 years</t>
  </si>
  <si>
    <t>2 to &lt; 3 years</t>
  </si>
  <si>
    <t>3 to &lt; 4 years</t>
  </si>
  <si>
    <t>4 to &lt; 5 years</t>
  </si>
  <si>
    <t>5 to 9 years</t>
  </si>
  <si>
    <t>10 to 14 years</t>
  </si>
  <si>
    <t>15 to 19 years</t>
  </si>
  <si>
    <t>20 to 24 years</t>
  </si>
  <si>
    <t>25 to 34 years</t>
  </si>
  <si>
    <t>35 to 44 years</t>
  </si>
  <si>
    <t>45 to 54 years</t>
  </si>
  <si>
    <t>55 to 59 years</t>
  </si>
  <si>
    <t>60 to 64 years</t>
  </si>
  <si>
    <t>65 to 74 years</t>
  </si>
  <si>
    <t>75 to 84 years</t>
  </si>
  <si>
    <t>85 years and over</t>
  </si>
  <si>
    <t>female</t>
  </si>
  <si>
    <t>Age cohorts</t>
  </si>
  <si>
    <t>weighted averages (servings)</t>
  </si>
  <si>
    <t>cups/week</t>
  </si>
  <si>
    <t xml:space="preserve">Percent of 2010 US population </t>
  </si>
  <si>
    <t xml:space="preserve">  Soy milk</t>
  </si>
  <si>
    <t xml:space="preserve">  Tofu</t>
  </si>
  <si>
    <t>not included in food supply data</t>
  </si>
  <si>
    <t>Cups</t>
  </si>
  <si>
    <t>Meat equivalent oz.</t>
  </si>
  <si>
    <t>Grams</t>
  </si>
  <si>
    <t>Teaspoons</t>
  </si>
  <si>
    <t>n/a = not applicable because the preferences for the individual food item are set directly on the 'Users diet' worksheet.</t>
  </si>
  <si>
    <t>Commerical production of food within study area</t>
  </si>
  <si>
    <r>
      <t>Adjusted preference relative to other foods</t>
    </r>
    <r>
      <rPr>
        <b/>
        <vertAlign val="superscript"/>
        <sz val="10"/>
        <rFont val="Arial"/>
        <family val="2"/>
      </rPr>
      <t>1</t>
    </r>
  </si>
  <si>
    <t>1 - The adjusted preference distributes the servings among foods that can be produced commercially within the study area.</t>
  </si>
  <si>
    <t>'WHEAT FLOUR,WHOLE-GRAIN &amp; WHEAT FLR,WHITE,ALL-PURPOSE,ENR,BLEACHED</t>
  </si>
  <si>
    <t>WHEAT,DURUM</t>
  </si>
  <si>
    <t>CORN FLR,WHOLE-GRAIN,YEL &amp; CORNMEAL,WHOLE-GRAIN,YEL</t>
  </si>
  <si>
    <t xml:space="preserve">CEREALS,QUAKER,HOMINY GRITS,WHITE,QUICK,DRY &amp; CEREALS,QUAKER,HOMINY GRITS,YEL,QUICK,DRY
</t>
  </si>
  <si>
    <t>CORNSTARCH</t>
  </si>
  <si>
    <t>RYE FLOUR,DARK, MEDIUM &amp; LIGHT</t>
  </si>
  <si>
    <t>RICE,WHITE,LONG-GRAIN,MEDIUM-GRAIN &amp; SHORT-GRAIN REG,RAW,UNENR &amp; RICE,BROWN,LONG-GRAIN &amp; MEDIUM-GRAIN,RAW</t>
  </si>
  <si>
    <t>OATS</t>
  </si>
  <si>
    <t>BARLEY,HULLED</t>
  </si>
  <si>
    <t>BROCCOLI,RAW</t>
  </si>
  <si>
    <t>BROCCOLI,FRZ,CHOPD,UNPREP</t>
  </si>
  <si>
    <t>COLLARDS,RAW</t>
  </si>
  <si>
    <t>ENDIVE,RAW</t>
  </si>
  <si>
    <t>KALE,RAW</t>
  </si>
  <si>
    <t>LETTUCE,GRN LEAF,ROMAINE,RAW</t>
  </si>
  <si>
    <t>MUSTARD GREENS,RAW</t>
  </si>
  <si>
    <t>SPINACH,RAW</t>
  </si>
  <si>
    <t>SPINACH,FRZ,CHOPD OR LEAF,UNPREP</t>
  </si>
  <si>
    <t>TURNIP GREENS,RAW</t>
  </si>
  <si>
    <t>CARROTS,RAW</t>
  </si>
  <si>
    <t>CARROTS,CND,REG PK,DRND SOL</t>
  </si>
  <si>
    <t>CARROTS,FRZ,CKD,BLD,DRND,WO/SALT</t>
  </si>
  <si>
    <t>PUMPKIN,RAW</t>
  </si>
  <si>
    <t>SQUASH,WINTER,ACORN &amp; BUTTERNUT,RAW</t>
  </si>
  <si>
    <t>SWEET POTATO,RAW,UNPREP</t>
  </si>
  <si>
    <t>average of beans used by Linda Scott Kantor of the USDA</t>
  </si>
  <si>
    <t>average of peas and lentils used by Linda Scott Kantor of the USDA</t>
  </si>
  <si>
    <t>PEAS,GREEN,RAW</t>
  </si>
  <si>
    <t>PEAS,GRN,FRZ,UNPREP</t>
  </si>
  <si>
    <t>LIMA BNS,LRG,MATURE SEEDS,CKD,BLD,WO/SALT</t>
  </si>
  <si>
    <t>LIMA BNS,IMMAT SEEDS,FRZ,FORDHOOK,UNPREP</t>
  </si>
  <si>
    <t>POTATO,FLESH &amp; SKN,RAW</t>
  </si>
  <si>
    <t>POTATOES,CND,DRND SOL</t>
  </si>
  <si>
    <t>POTATOES,FRZ,WHL,UNPREP</t>
  </si>
  <si>
    <t>POTATOES,MSHD,DEHYD,FLAKES WO/MILK,DRY FORM</t>
  </si>
  <si>
    <t>CORN,SWEET,WHITE,RAW</t>
  </si>
  <si>
    <t>CORN,SWT,WHITE,CND,WHL KERNEL,DRND SOL</t>
  </si>
  <si>
    <t>CORN,SWT,WHITE,FRZ,KRNLS CUT OFF COB,UNPREP</t>
  </si>
  <si>
    <t>Cooked</t>
  </si>
  <si>
    <t>ARTICHOKES,(GLOBE OR FRENCH),RAW</t>
  </si>
  <si>
    <t>ASPARAGUS,RAW</t>
  </si>
  <si>
    <t>ASPARAGUS,CND,DRND SOL</t>
  </si>
  <si>
    <t>ASPARAGUS,FRZ,CKD,BLD,DRND,WO/SALT</t>
  </si>
  <si>
    <t>PEPPERS,SWT,GRN,RAW</t>
  </si>
  <si>
    <t>BRUSSELS SPROUTS,RAW</t>
  </si>
  <si>
    <t>CABBAGE,RAW</t>
  </si>
  <si>
    <t>CABBAGE,CKD,BLD,DRND,WO/SALT</t>
  </si>
  <si>
    <t>CAULIFLOWER,RAW</t>
  </si>
  <si>
    <t>CAULIFLOWER,FRZ,CKD,BLD,DRND,WO/SALT</t>
  </si>
  <si>
    <t>CELERY,RAW</t>
  </si>
  <si>
    <t>PEPPERS,HOT CHILI,GRN,CND,PODS,EXCLUDING SEEDS,SOL&amp;LIQUIDS</t>
  </si>
  <si>
    <t>CUCUMBER,WITH PEEL,RAW</t>
  </si>
  <si>
    <t>PICKLES,CUCUMBER,DILL OR KOSHER DILL</t>
  </si>
  <si>
    <t>EGGPLANT,RAW</t>
  </si>
  <si>
    <t>GARLIC,RAW</t>
  </si>
  <si>
    <t>LETTUCE,ICEBERG (INCL CRISPHEAD TYPES),RAW</t>
  </si>
  <si>
    <t>MUSHROOMS,WHITE,RAW</t>
  </si>
  <si>
    <t>MUSHROOMS,CND,DRND SOL</t>
  </si>
  <si>
    <t>OKRA,RAW</t>
  </si>
  <si>
    <t>ONIONS,RAW</t>
  </si>
  <si>
    <t>ONIONS,DEHYDRATED FLAKES</t>
  </si>
  <si>
    <t>RADISHES,RAW</t>
  </si>
  <si>
    <t>BEANS,SNAP,GREEN,RAW</t>
  </si>
  <si>
    <t>BEANS,SNAP,GRN,CND,REG PK,DRND SOL</t>
  </si>
  <si>
    <t>BEANS,SNAP,GRN,FRZ,ALL STYLES,UNPREP</t>
  </si>
  <si>
    <t>SQUASH,SMMR,ZUCCHINI,INCL SKN,RAW</t>
  </si>
  <si>
    <t>TOMATOES,RED,RIPE,RAW,YEAR RND AVERAGE</t>
  </si>
  <si>
    <t>TOMATOES,RED,RIPE,CND,STWD</t>
  </si>
  <si>
    <t>ORANGES,RAW,ALL COMM VAR</t>
  </si>
  <si>
    <t>ORANGE JUICE,RAW</t>
  </si>
  <si>
    <t>GRAPEFRUIT,RAW,PINK&amp;RED&amp;WHITE,ALL AREAS</t>
  </si>
  <si>
    <t>GRAPEFRUIT JUC,WHITE,RAW</t>
  </si>
  <si>
    <t>LEMONS,RAW,WITHOUT PEEL</t>
  </si>
  <si>
    <t>LEMON JUICE,RAW</t>
  </si>
  <si>
    <t>LIMES,RAW</t>
  </si>
  <si>
    <t>LIME JUICE,RAW</t>
  </si>
  <si>
    <t>TANGERINES,(MANDARIN ORANGES),RAW</t>
  </si>
  <si>
    <t>APPLES,RAW,WITH SKIN</t>
  </si>
  <si>
    <t>APPLESAUCE,CND,UNSWTND,WO/ADDED VIT C (INCLUDES USDA COMMOD)</t>
  </si>
  <si>
    <t>APPLES,FRZ,UNSWTND,UNHTD</t>
  </si>
  <si>
    <t>APPLES,DEHYD (LO MOIST),SULFURED,UNCKD</t>
  </si>
  <si>
    <t>APPLE JUC,CND OR BTLD,UNSWTND,WO/ ADDED VIT C</t>
  </si>
  <si>
    <t>APRICOTS,RAW</t>
  </si>
  <si>
    <t>APRICOTS,CND,H2O PK,W/SKN,SOL&amp;LIQUIDS</t>
  </si>
  <si>
    <t>APRICOTS,DRIED,SULFURED,UNCKD</t>
  </si>
  <si>
    <t>AVOCADOS,RAW,ALL COMM VAR</t>
  </si>
  <si>
    <t>BANANAS,RAW</t>
  </si>
  <si>
    <t>BLACKBERRIES,RAW</t>
  </si>
  <si>
    <t>BLUEBERRIES,RAW</t>
  </si>
  <si>
    <t>BLUEBERRIES,FRZ,UNSWTND</t>
  </si>
  <si>
    <t>MELONS,CANTALOUPE,RAW</t>
  </si>
  <si>
    <t>CHERRIES,SWEET,RAW</t>
  </si>
  <si>
    <t>CHERRIES,SWT,CND,H2O PK,SOL&amp;LIQUIDS</t>
  </si>
  <si>
    <t>CHERRIES,SOUR,RED,FRZ,UNSWTND</t>
  </si>
  <si>
    <t>CRANBERRIES,RAW</t>
  </si>
  <si>
    <t>CRANBERRY JUC,UNSWTND</t>
  </si>
  <si>
    <t>DATES,DEGLET NOOR</t>
  </si>
  <si>
    <t>FIGS,RAW</t>
  </si>
  <si>
    <t>GRAPES,AMERICAN TYPE (SLIP SKN),RAW</t>
  </si>
  <si>
    <t>GRAPE JUC,CND OR BTLD,UNSWTND,WO/ ADDED VIT C</t>
  </si>
  <si>
    <t>MELONS,HONEYDEW,RAW</t>
  </si>
  <si>
    <t>KIWIFRUIT,GRN,RAW</t>
  </si>
  <si>
    <t>MANGOS,RAW</t>
  </si>
  <si>
    <t>OLIVES,RIPE,CND (SMALL-EXTRA LRG)</t>
  </si>
  <si>
    <t>PEACHES,RAW</t>
  </si>
  <si>
    <t>PEACHES,CND,H2O PK,SOL&amp;LIQUIDS</t>
  </si>
  <si>
    <t>PEACHES,DRIED,SULFURED,UNCKD</t>
  </si>
  <si>
    <t>PEARS,RAW</t>
  </si>
  <si>
    <t>PEARS,CND,H2O PK,SOL&amp;LIQUIDS</t>
  </si>
  <si>
    <t>PEARS,DRIED,SULFURED,UNCKD</t>
  </si>
  <si>
    <t>PINEAPPLE,RAW,ALL VAR</t>
  </si>
  <si>
    <t>PINEAPPLE,CND,H2O PK,SOL&amp;LIQUIDS</t>
  </si>
  <si>
    <t>PINEAPPLE JUC,CND,UNSWTND,WO/ VIT C</t>
  </si>
  <si>
    <t>PAPAYAS,RAW</t>
  </si>
  <si>
    <t>PLUMS,RAW</t>
  </si>
  <si>
    <t>PLUMS,CND,PURPLE,H2O PK,SOL&amp;LIQUIDS</t>
  </si>
  <si>
    <t>PLUMS,DRIED (PRUNES),UNCKD</t>
  </si>
  <si>
    <t>PRUNE JUICE,CANNED</t>
  </si>
  <si>
    <t>RAISINS,SEEDLESS</t>
  </si>
  <si>
    <t>RASPBERRIES,RAW</t>
  </si>
  <si>
    <t>STRAWBERRIES,RAW</t>
  </si>
  <si>
    <t>STRAWBERRIES,FRZ,UNSWTND</t>
  </si>
  <si>
    <t>WATERMELON,RAW</t>
  </si>
  <si>
    <t>NOTES</t>
  </si>
  <si>
    <t>1 - Frozen, unsweetened sour cherries were used as a proxy for the nutrient content of frozen apricots, peaches, and plums. Only sweetened versions of these products were available in the USDA Nutrient Database for Standard Reference, and the nutrient profiles of these products have a much higher energy density than would the frozen fruit alone. Sour cherries were used as a substitute because they are a stone fruit.</t>
  </si>
  <si>
    <r>
      <t>Frozen, unsweetened sour cherries used as a proxy</t>
    </r>
    <r>
      <rPr>
        <vertAlign val="superscript"/>
        <sz val="10"/>
        <rFont val="Arial"/>
        <family val="2"/>
      </rPr>
      <t>1</t>
    </r>
  </si>
  <si>
    <r>
      <t>Raw raspberries used as a proxy</t>
    </r>
    <r>
      <rPr>
        <vertAlign val="superscript"/>
        <sz val="10"/>
        <rFont val="Arial"/>
        <family val="2"/>
      </rPr>
      <t>2</t>
    </r>
  </si>
  <si>
    <t>2 - Raw raspberries were used as a proxy for frozen raspberries. Only a sweetened version of the frozen product was available in the USDA Nutrient Database for Standard Reference.</t>
  </si>
  <si>
    <t>MILK,WHL,3.25% MILKFAT,W/ ADDED VITAMIN D</t>
  </si>
  <si>
    <t>MILK,RED FAT,FLUID,2% MILKFAT,W/ ADDED VIT A &amp; VITAMIN D</t>
  </si>
  <si>
    <t>MILK,LOWFAT,FLUID,1% MILKFAT,W/ ADDED VIT A &amp; VITAMIN D</t>
  </si>
  <si>
    <t>MILK,NONFAT,FLUID,W/ ADDED VIT A &amp; VIT D (FAT FREE OR SKIM)</t>
  </si>
  <si>
    <t>MILK,CHOC,FLUID,COMM,WHL,W/ ADDED VIT A &amp; VITAMIN D</t>
  </si>
  <si>
    <t>MILK,CHOC,FLUID,COMM,RED FAT,W/ ADDED VIT A &amp; VITAMIN D</t>
  </si>
  <si>
    <t>YOGURT,PLN,LOFAT,12 GRAMS PROT PER 8 OZ</t>
  </si>
  <si>
    <t>CHEESE,CHEDDAR</t>
  </si>
  <si>
    <t>CHEESE,PROVOLONE</t>
  </si>
  <si>
    <t>CHEESE,ROMANO</t>
  </si>
  <si>
    <t>CHEESE,PARMESAN,GRATED</t>
  </si>
  <si>
    <t>CHEESE,MOZZARELLA,WHL MILK</t>
  </si>
  <si>
    <t>CHEESE,RICOTTA,WHOLE MILK</t>
  </si>
  <si>
    <t>CHEESE,SWISS</t>
  </si>
  <si>
    <t>CHEESE,BRICK</t>
  </si>
  <si>
    <t>CHEESE,MUENSTER</t>
  </si>
  <si>
    <t>CHEESE,BLUE</t>
  </si>
  <si>
    <t>CHEESE,COTTAGE,CRMD,LRG OR SML CURD</t>
  </si>
  <si>
    <t>CHEESE,COTTAGE,LOWFAT,2% MILKFAT</t>
  </si>
  <si>
    <t>ICE CREAMS,VANILLA</t>
  </si>
  <si>
    <t>ICE CREAMS,VANILLA,LT,SOFT-SERVE</t>
  </si>
  <si>
    <t>MILK,CND,EVAP,W/ ADDED VITAMIN D &amp; WO/ ADDED VIT A</t>
  </si>
  <si>
    <t>MILK,CND,EVAP,NONFAT,W/ ADDED VIT A &amp; VITAMIN D</t>
  </si>
  <si>
    <t>MILK,DRY,WHL,W/ ADDED VITAMIN D</t>
  </si>
  <si>
    <t>MILK,DRY,NONFAT,INST,W/ ADDED VIT A &amp; VITAMIN D</t>
  </si>
  <si>
    <t>MILK,BUTTERMILK,DRIED</t>
  </si>
  <si>
    <t>1.5 oz</t>
  </si>
  <si>
    <t>1/2 cup</t>
  </si>
  <si>
    <t>2 cups</t>
  </si>
  <si>
    <t>1.5 cups</t>
  </si>
  <si>
    <t>1/4 cup</t>
  </si>
  <si>
    <t>Average of the four, named miscellaneous cheeses</t>
  </si>
  <si>
    <t>Average of the two types of frozen dairy desserts</t>
  </si>
  <si>
    <t>BEEF,COMP OF RTL CUTS,LN&amp;FAT,1/8"FAT,ALL GRDS,CKD</t>
  </si>
  <si>
    <t>Veal, composite of trimmed retail cuts, separable lean and fat, cooked</t>
  </si>
  <si>
    <t>LAMB,DOM,COMP OF RTL CUTS,LN&amp;FAT,1/4"FAT,CHOIC,CKD</t>
  </si>
  <si>
    <t>Chicken, broilers or fryers, meat and skin, cooked, roasted</t>
  </si>
  <si>
    <t>TURKEY,ALL CLASSES,MEAT&amp;SKN&amp;GIBLETS&amp;NECK,CKD,RSTD</t>
  </si>
  <si>
    <t>Fish, salmon, pink, canned, drained solids with bone</t>
  </si>
  <si>
    <t>SARDINE,ATLANTIC,CND IN OIL,DRND SOL W/BONE</t>
  </si>
  <si>
    <t>TUNA,WHITE,CND IN OIL,DRND SOL</t>
  </si>
  <si>
    <t>COD,ATLANTIC,DRIED&amp;SALTED</t>
  </si>
  <si>
    <t>EGG,WHL,RAW,FRSH</t>
  </si>
  <si>
    <t>PEANUTS,ALL TYPES,RAW</t>
  </si>
  <si>
    <t>COCONUT MEAT,DRIED (DESICCATED),NOT SWTND</t>
  </si>
  <si>
    <t>ALMONDS</t>
  </si>
  <si>
    <t>HAZELNUTS OR FILBERTS</t>
  </si>
  <si>
    <t>PECANS</t>
  </si>
  <si>
    <t>WALNUTS,ENGLISH</t>
  </si>
  <si>
    <t>MACADAMIA NUTS,RAW</t>
  </si>
  <si>
    <t>PISTACHIO NUTS,RAW</t>
  </si>
  <si>
    <t>1 oz cooked</t>
  </si>
  <si>
    <t>1 oz roasted</t>
  </si>
  <si>
    <t>1 oz., cooked</t>
  </si>
  <si>
    <t>1 oz., dried</t>
  </si>
  <si>
    <t>1 large raw egg</t>
  </si>
  <si>
    <t>1/2 oz.</t>
  </si>
  <si>
    <t>canned</t>
  </si>
  <si>
    <t>BUTTER,WITH SALT</t>
  </si>
  <si>
    <t>MARGARINE,REG,80% FAT,COMP,STK,W/ SALT</t>
  </si>
  <si>
    <t>LARD</t>
  </si>
  <si>
    <t>FAT,BEEF TALLOW</t>
  </si>
  <si>
    <t>SHORTENING,HOUSEHOLD,LARD&amp;VEG OIL</t>
  </si>
  <si>
    <t>OIL,CORN AND CANOLA</t>
  </si>
  <si>
    <t>OIL,CORN,PEANUT,AND OLIVE</t>
  </si>
  <si>
    <t>CREAM,FLUID,LT (COFFEE CRM OR TABLE CRM)</t>
  </si>
  <si>
    <t>CREAM,FLUID,HALF AND HALF</t>
  </si>
  <si>
    <t>CREAM,FLUID,HVY WHIPPING</t>
  </si>
  <si>
    <t>SOUR CREAM,REDUCED FAT</t>
  </si>
  <si>
    <t>CHEESE,CREAM</t>
  </si>
  <si>
    <t>EGGNOG</t>
  </si>
  <si>
    <t>SUGAR,TURBINADO, BROWN &amp; GRANULATED</t>
  </si>
  <si>
    <t>SYRUPS,CORN,HIGH-FRUCTOSE</t>
  </si>
  <si>
    <r>
      <t>Soymilk, original and vanilla, with added calcium, vitamins A and D</t>
    </r>
    <r>
      <rPr>
        <b/>
        <vertAlign val="superscript"/>
        <sz val="11"/>
        <color theme="1"/>
        <rFont val="Arial"/>
        <family val="2"/>
      </rPr>
      <t>3</t>
    </r>
  </si>
  <si>
    <r>
      <t xml:space="preserve">Tofu, firm, prepared with calcium sulfate and magnesium chloride (nigari) #16126 </t>
    </r>
    <r>
      <rPr>
        <b/>
        <vertAlign val="superscript"/>
        <sz val="11"/>
        <color theme="1"/>
        <rFont val="Arial"/>
        <family val="2"/>
      </rPr>
      <t>4</t>
    </r>
  </si>
  <si>
    <r>
      <t>pork, average all cuts &amp; bacon</t>
    </r>
    <r>
      <rPr>
        <vertAlign val="superscript"/>
        <sz val="10"/>
        <rFont val="Arial"/>
        <family val="2"/>
      </rPr>
      <t>5</t>
    </r>
  </si>
  <si>
    <r>
      <t>Average of salmon, sardine, tuna, and shrimp</t>
    </r>
    <r>
      <rPr>
        <vertAlign val="superscript"/>
        <sz val="10"/>
        <rFont val="Arial"/>
        <family val="2"/>
      </rPr>
      <t>6</t>
    </r>
  </si>
  <si>
    <r>
      <t>Crustaceans, shrimp, mixed species, canned</t>
    </r>
    <r>
      <rPr>
        <vertAlign val="superscript"/>
        <sz val="10"/>
        <rFont val="Arial"/>
        <family val="2"/>
      </rPr>
      <t>7</t>
    </r>
  </si>
  <si>
    <r>
      <t>Average of other nuts</t>
    </r>
    <r>
      <rPr>
        <vertAlign val="superscript"/>
        <sz val="10"/>
        <rFont val="Arial"/>
        <family val="2"/>
      </rPr>
      <t>8</t>
    </r>
  </si>
  <si>
    <t>4 - Source:  National Nutrient Database for Standard Reference, Release 25, accessed Nov. 1, 2012;  Note from USDA -&gt; ¼ cup (about 2 ounces) of tofu = 1 meat. Oz. equivalent (http://www.choosemyplate.gov/food-groups/proteinfoods_counts_table.html)</t>
  </si>
  <si>
    <t>3 - Source:  National Nutrient Database for Standard Reference, Release 24 (March 30, 2012), accessed Sept. 19, 2012</t>
  </si>
  <si>
    <t>5 - The composite of retail pork cuts reported in the Nutrient Database for Standard Reference excludes pork bellies (generally used for bacon). Since pork bellies constitute a substantial fraction of the edible portion of a hog, an aggregate nutrient composition was calculated. Values shown are a weighted average. According to calculations made from Table 13 of USDA Agricultural Hanbook 697, pork bellies constitute 20% of the edible meat from the hog. The other 80% is represented by the composite of retail cuts (shoulders, loins, and hams).</t>
  </si>
  <si>
    <t>6 - The USDA-ERS does not report the individual species represented in fresh fish and shellfish. Nutrient profile of this category of foods was estimated using the average of canned salmon, sardines, tuna, and shrimp.</t>
  </si>
  <si>
    <t>8 - In the food supply data, "Other nuts" includes Brazil nuts, pignolias, chestnuts, cashews, and mixed nuts. The nutrient profile is represented by an average of all individual nuts included in the model.</t>
  </si>
  <si>
    <t>7 - Shrimp are the most commonly consumed type of shellfish and were thus used to represent this category. Data from Nutrient Database for Standard Reference, Release 26. Accessed on July 15, 2014.</t>
  </si>
  <si>
    <t>plain whole milk</t>
  </si>
  <si>
    <t>plain 2 percent milk</t>
  </si>
  <si>
    <t>plain 1 percent milk</t>
  </si>
  <si>
    <t>plain skim milk</t>
  </si>
  <si>
    <t>flavored whole milk</t>
  </si>
  <si>
    <t>flavored lower fat milk</t>
  </si>
  <si>
    <t>fresh and frozen</t>
  </si>
  <si>
    <t>raw</t>
  </si>
  <si>
    <r>
      <t>Dry edible beans</t>
    </r>
    <r>
      <rPr>
        <vertAlign val="superscript"/>
        <sz val="10"/>
        <rFont val="Arial"/>
        <family val="2"/>
      </rPr>
      <t>1</t>
    </r>
  </si>
  <si>
    <r>
      <t>Dry peas and lentils</t>
    </r>
    <r>
      <rPr>
        <vertAlign val="superscript"/>
        <sz val="10"/>
        <rFont val="Arial"/>
        <family val="2"/>
      </rPr>
      <t>1</t>
    </r>
  </si>
  <si>
    <t>1 - The weight of servings of dry beans, peas, and lentils are shown on a cooked basis in "Food composition," whereas the losses of food in "Losses and waste" do not account for weight changes of dry legumes in cooking. An adjustment was made to convert the food intake from a cooked beans (peas or lentils) basis to a dry basis using the water content from the food composition information.</t>
  </si>
  <si>
    <t>1 - USDA-ERS does not track soy milk in its food supply data. Losses for soy milk are assumed identical to fluid milk products.</t>
  </si>
  <si>
    <t>2 - USDA-ERS does not track tofu in its food supply data. Losses for tofu are assumed identical to dry beans, peas, and lentils.</t>
  </si>
  <si>
    <r>
      <t>Soymilk</t>
    </r>
    <r>
      <rPr>
        <vertAlign val="superscript"/>
        <sz val="10"/>
        <color theme="1"/>
        <rFont val="Arial"/>
        <family val="2"/>
      </rPr>
      <t>1</t>
    </r>
  </si>
  <si>
    <r>
      <t>Tofu</t>
    </r>
    <r>
      <rPr>
        <vertAlign val="superscript"/>
        <sz val="10"/>
        <color theme="1"/>
        <rFont val="Arial"/>
        <family val="2"/>
      </rPr>
      <t>2</t>
    </r>
  </si>
  <si>
    <t>(</t>
  </si>
  <si>
    <r>
      <t>butter</t>
    </r>
    <r>
      <rPr>
        <vertAlign val="superscript"/>
        <sz val="10"/>
        <rFont val="Arial"/>
        <family val="2"/>
      </rPr>
      <t>3</t>
    </r>
  </si>
  <si>
    <r>
      <t>light cream</t>
    </r>
    <r>
      <rPr>
        <vertAlign val="superscript"/>
        <sz val="10"/>
        <rFont val="Arial"/>
        <family val="2"/>
      </rPr>
      <t>3</t>
    </r>
  </si>
  <si>
    <r>
      <t>half and half</t>
    </r>
    <r>
      <rPr>
        <vertAlign val="superscript"/>
        <sz val="10"/>
        <rFont val="Arial"/>
        <family val="2"/>
      </rPr>
      <t>3</t>
    </r>
  </si>
  <si>
    <r>
      <t>heavy cream</t>
    </r>
    <r>
      <rPr>
        <vertAlign val="superscript"/>
        <sz val="10"/>
        <rFont val="Arial"/>
        <family val="2"/>
      </rPr>
      <t>3</t>
    </r>
  </si>
  <si>
    <r>
      <t>sour cream</t>
    </r>
    <r>
      <rPr>
        <vertAlign val="superscript"/>
        <sz val="10"/>
        <rFont val="Arial"/>
        <family val="2"/>
      </rPr>
      <t>3</t>
    </r>
  </si>
  <si>
    <r>
      <t>cream cheese</t>
    </r>
    <r>
      <rPr>
        <vertAlign val="superscript"/>
        <sz val="10"/>
        <rFont val="Arial"/>
        <family val="2"/>
      </rPr>
      <t>3</t>
    </r>
  </si>
  <si>
    <r>
      <t>eggnog</t>
    </r>
    <r>
      <rPr>
        <vertAlign val="superscript"/>
        <sz val="10"/>
        <rFont val="Arial"/>
        <family val="2"/>
      </rPr>
      <t>3</t>
    </r>
  </si>
  <si>
    <t>3 - Consumption data in the Food Preferences worksheet represents this product on a fat-weight basis.  Therefore, primary to retail weight (column H) converts from fat weight basis to product weight basis</t>
  </si>
  <si>
    <t>hundredweight</t>
  </si>
  <si>
    <t xml:space="preserve"> -</t>
  </si>
  <si>
    <t>tons</t>
  </si>
  <si>
    <t>Tons per acre</t>
  </si>
  <si>
    <t>Tons Fresh Equivalent</t>
  </si>
  <si>
    <t>Tons In-Shell Equivalent</t>
  </si>
  <si>
    <t>1,000 tons</t>
  </si>
  <si>
    <t>acres</t>
  </si>
  <si>
    <t>bu/acre</t>
  </si>
  <si>
    <t>lb/acre</t>
  </si>
  <si>
    <t>tons/acre, dry basis</t>
  </si>
  <si>
    <t>Seafood products are assumed to be 100% obtained from capture fisheries. Therefore, processing yields are not needed for land calculations</t>
  </si>
  <si>
    <t>Cropland</t>
  </si>
  <si>
    <t>Cropland total</t>
  </si>
  <si>
    <t>Cropland harvested</t>
  </si>
  <si>
    <t>Cropland other</t>
  </si>
  <si>
    <t>Non-food crops</t>
  </si>
  <si>
    <t>Productive cropland</t>
  </si>
  <si>
    <t>Percent cultivated</t>
  </si>
  <si>
    <t>Percent perennial</t>
  </si>
  <si>
    <t>Woodland used for grazing</t>
  </si>
  <si>
    <t>LAND AVAILABILITY</t>
  </si>
  <si>
    <t>The purpose of this worksheet is to estimate the amount of land considered available for producing food. The calculations account for the fact that not all arable land will be harvested for food or feed production in a given year. Factors considered in the calculations include crop failure, use of fallow in crop rotations, idle land, and non-food agricultural products. The calculations also account for potential limitations in the use of land, since not all arable land will be planted to arable crops in any given year. Finally, the calculations determine the amount of grazing land available.</t>
  </si>
  <si>
    <t>2007 Census of Agriculture</t>
  </si>
  <si>
    <t>Year</t>
  </si>
  <si>
    <t>Cropland used only for pasture or grazing</t>
  </si>
  <si>
    <t>Percent of cropland used for production</t>
  </si>
  <si>
    <t>%</t>
  </si>
  <si>
    <t>Nursery crops, in the open</t>
  </si>
  <si>
    <t>Cut Christmas trees</t>
  </si>
  <si>
    <t>Short rotation woody crops</t>
  </si>
  <si>
    <t>Upland cotton</t>
  </si>
  <si>
    <t>Pima cotton</t>
  </si>
  <si>
    <t>Tobacco</t>
  </si>
  <si>
    <t>Total noncitrus fruit, bearing age acres</t>
  </si>
  <si>
    <t>Total citrus fruit, bearing age acres</t>
  </si>
  <si>
    <t>Total nuts, bearing age acres</t>
  </si>
  <si>
    <t>Total berries, harvested acres (calculated)</t>
  </si>
  <si>
    <t>Hay, forage, and field and grass seeds \ Field and grass seed crops, all</t>
  </si>
  <si>
    <t>Hay, forage, and field and grass seeds \ Forage - land used for all hay and all haylage, grass silage, and greenchop (tons, dry equivalent) (see text)</t>
  </si>
  <si>
    <t>Other specified crops \ Land in vegetables (see text) 1/</t>
  </si>
  <si>
    <t>Area in annual field crops</t>
  </si>
  <si>
    <t>Area in cultivated crops</t>
  </si>
  <si>
    <t>Area in perennial crops and cropland pasture</t>
  </si>
  <si>
    <t>Cropping intensity</t>
  </si>
  <si>
    <t>Total area harvested for field crops</t>
  </si>
  <si>
    <t>Total area harvested for vegetables</t>
  </si>
  <si>
    <t>Total area harvested for other cultivated crops</t>
  </si>
  <si>
    <t>Crop types harvested</t>
  </si>
  <si>
    <t>Table 36</t>
  </si>
  <si>
    <t>Table 35</t>
  </si>
  <si>
    <t>Table 33</t>
  </si>
  <si>
    <t>Table 37</t>
  </si>
  <si>
    <t>Table 38</t>
  </si>
  <si>
    <t>Table 8</t>
  </si>
  <si>
    <t>Area harvested for cultivated non-food crops</t>
  </si>
  <si>
    <t>Area harvested for perennial non-food crops</t>
  </si>
  <si>
    <t>Sum of all individual specified field crops from Table 33</t>
  </si>
  <si>
    <t>Sum of all individual vegetables, potatoes, and melons from Table 34</t>
  </si>
  <si>
    <t>Effective area available for cultivated crops</t>
  </si>
  <si>
    <t>Effective area available for cultivated food crops</t>
  </si>
  <si>
    <t>Percent non-food, effective area available for cultivation</t>
  </si>
  <si>
    <t>Area available for perennial crops</t>
  </si>
  <si>
    <t>Area available for perennial food crops</t>
  </si>
  <si>
    <t>Percent non-food, area available for perennial forages</t>
  </si>
  <si>
    <t>Percent food, effective area available for cultivation</t>
  </si>
  <si>
    <t>Percent food, area available for perennial forages</t>
  </si>
  <si>
    <t>Major Land Uses</t>
  </si>
  <si>
    <t>Includes non-farm land in grassland cover.</t>
  </si>
  <si>
    <t>Includes grazing allotments in National Forests.</t>
  </si>
  <si>
    <t>Total grazing land</t>
  </si>
  <si>
    <t>Summary</t>
  </si>
  <si>
    <t>Cropland available for food production, cultivated uses</t>
  </si>
  <si>
    <t>Cropland available for food production, all uses</t>
  </si>
  <si>
    <t>Grazing land available</t>
  </si>
  <si>
    <t>Formulae in source cells show how value was obtained.</t>
  </si>
  <si>
    <t>MULTIUSE CROP ADJUSTMENT</t>
  </si>
  <si>
    <t>This worksheet corrects the raw estimates of dietary land requirements for double-counting that may occur in the calculations for foods or feed ingredients that are co-products. Soybean oil and soybean meal, for example, are co-produced in the "crushing" of soybeans to produce vegetable oil.</t>
  </si>
  <si>
    <t>Corn starch</t>
  </si>
  <si>
    <t>Corn feeds produced as co-product</t>
  </si>
  <si>
    <t>Protein content of feeds</t>
  </si>
  <si>
    <t>Amount of soybean required</t>
  </si>
  <si>
    <t>Product</t>
  </si>
  <si>
    <t>Amount of corn required to manufacture product</t>
  </si>
  <si>
    <t>Corn oil co-product</t>
  </si>
  <si>
    <t>Amount of crop required to manufacture product</t>
  </si>
  <si>
    <t>Oil produced</t>
  </si>
  <si>
    <t>Totals, all oilseeds</t>
  </si>
  <si>
    <t xml:space="preserve">STEP 2: Tabulate coproduct manufacture from oilseeds </t>
  </si>
  <si>
    <t>STEP 1: Tabulate coproduct manufacture from wet-milled corn products</t>
  </si>
  <si>
    <t>STEP 3: Tabulate coproduct manufacture from livestock feed requirements</t>
  </si>
  <si>
    <t>Livestock class</t>
  </si>
  <si>
    <t>Oil produced as co-product</t>
  </si>
  <si>
    <t>Totals, all livestock</t>
  </si>
  <si>
    <t>Land in crop</t>
  </si>
  <si>
    <t>Percent of total</t>
  </si>
  <si>
    <t>Amount substituted</t>
  </si>
  <si>
    <t>Land adjustment</t>
  </si>
  <si>
    <t>Original land in oilseeds</t>
  </si>
  <si>
    <t>Adjusted land in oilseeds</t>
  </si>
  <si>
    <t>Calculation</t>
  </si>
  <si>
    <t>Protein adjustment</t>
  </si>
  <si>
    <t>Original protein from oilseeds</t>
  </si>
  <si>
    <t>Adjusted protein from oilseeds</t>
  </si>
  <si>
    <t>Total protein from corn products and oilseeds</t>
  </si>
  <si>
    <t>Multi-crop adjustment</t>
  </si>
  <si>
    <t>Glucose is also known as dextrose.</t>
  </si>
  <si>
    <t>No entry in Nutrient Database for Standard Reference. Assumed identical to sugar.</t>
  </si>
  <si>
    <t>Totals, starch and corn sweeteners</t>
  </si>
  <si>
    <t>Soybean oil</t>
  </si>
  <si>
    <t>Canola oil</t>
  </si>
  <si>
    <t>Peanut oil</t>
  </si>
  <si>
    <t>na</t>
  </si>
  <si>
    <r>
      <rPr>
        <vertAlign val="superscript"/>
        <sz val="10"/>
        <rFont val="Arial"/>
        <family val="2"/>
      </rPr>
      <t>1</t>
    </r>
    <r>
      <rPr>
        <sz val="10"/>
        <rFont val="Arial"/>
      </rPr>
      <t>Assumes two feeds are produced from wet milling, corn gluten meal and corn gluten feed. According to Table 27 in USDA Agricultural Handbook 697, corn gluten meal contitutes about 55-60% of corn feeds and corn gluten meal constitutes approximately 40% with other minor feed products making up the balance. Crude protein composition of these feeds was determined from National Research Council. 1982. United States-Canadian Tables of Feed Composition. National Academy Press, Washington, D.C. Available at Web site: http://www.nap.edu/openbook.php?record_id=1713&amp;page=R1 (verifed 08 August 2014).</t>
    </r>
  </si>
  <si>
    <r>
      <t>Protein concentration in feed</t>
    </r>
    <r>
      <rPr>
        <vertAlign val="superscript"/>
        <sz val="10"/>
        <rFont val="Arial"/>
        <family val="2"/>
      </rPr>
      <t>1</t>
    </r>
  </si>
  <si>
    <r>
      <t>Feeds produced as co-products</t>
    </r>
    <r>
      <rPr>
        <vertAlign val="superscript"/>
        <sz val="10"/>
        <rFont val="Arial"/>
        <family val="2"/>
      </rPr>
      <t>2</t>
    </r>
  </si>
  <si>
    <r>
      <rPr>
        <vertAlign val="superscript"/>
        <sz val="10"/>
        <rFont val="Arial"/>
        <family val="2"/>
      </rPr>
      <t>2</t>
    </r>
    <r>
      <rPr>
        <sz val="10"/>
        <rFont val="Arial"/>
      </rPr>
      <t>Oilseed cakes or meals are a high-protein, concentrated animal feed. Yield of feed from oilseeds obtained from Table 32 (footnote 1) of USDA Agricultural Handbook 697. Yield of canola seed cake estimated as the residual of 1 minus the oil fraction.</t>
    </r>
  </si>
  <si>
    <r>
      <rPr>
        <vertAlign val="superscript"/>
        <sz val="10"/>
        <rFont val="Arial"/>
        <family val="2"/>
      </rPr>
      <t>3</t>
    </r>
    <r>
      <rPr>
        <sz val="10"/>
        <rFont val="Arial"/>
      </rPr>
      <t>Protein concentrations from Dairy One feed library.</t>
    </r>
  </si>
  <si>
    <t>Ag commodites required as livestock feed (lbs/yr)</t>
  </si>
  <si>
    <t>Beef, from beef breeds</t>
  </si>
  <si>
    <t>Beef, from dairy breeds</t>
  </si>
  <si>
    <t>Dairy fats</t>
  </si>
  <si>
    <t>Is sufficient protein concentrated produced from plant oil and corn starch/sweetener manufacture?</t>
  </si>
  <si>
    <t>Y/N</t>
  </si>
  <si>
    <t>% of plant oil</t>
  </si>
  <si>
    <t>STEP 4: Calculate potential land savings of corn oil and adjust protein concentrate estimates</t>
  </si>
  <si>
    <t>STEP 5: Calculate potential land savings of lard and tallow and adjust protein concentrate estimates</t>
  </si>
  <si>
    <t>STEP 6: Determine multiple cropping adjustment</t>
  </si>
  <si>
    <r>
      <t>Protein concentration in feed</t>
    </r>
    <r>
      <rPr>
        <vertAlign val="superscript"/>
        <sz val="10"/>
        <rFont val="Arial"/>
        <family val="2"/>
      </rPr>
      <t>3</t>
    </r>
  </si>
  <si>
    <r>
      <t>Soybean meal produced</t>
    </r>
    <r>
      <rPr>
        <vertAlign val="superscript"/>
        <sz val="10"/>
        <rFont val="Arial"/>
        <family val="2"/>
      </rPr>
      <t>2</t>
    </r>
  </si>
  <si>
    <r>
      <t>Animal fats (lard and tallow)</t>
    </r>
    <r>
      <rPr>
        <vertAlign val="superscript"/>
        <sz val="10"/>
        <rFont val="Arial"/>
        <family val="2"/>
      </rPr>
      <t>6</t>
    </r>
  </si>
  <si>
    <r>
      <rPr>
        <vertAlign val="superscript"/>
        <sz val="10"/>
        <rFont val="Arial"/>
        <family val="2"/>
      </rPr>
      <t>6</t>
    </r>
    <r>
      <rPr>
        <sz val="10"/>
        <rFont val="Arial"/>
      </rPr>
      <t>Based on fat fraction of carcass. See "Processing yields" worksheet.</t>
    </r>
  </si>
  <si>
    <r>
      <rPr>
        <vertAlign val="superscript"/>
        <sz val="10"/>
        <rFont val="Arial"/>
        <family val="2"/>
      </rPr>
      <t>5</t>
    </r>
    <r>
      <rPr>
        <sz val="10"/>
        <rFont val="Arial"/>
      </rPr>
      <t>Protein concentration of soybean meal from Dairy One feed library.</t>
    </r>
  </si>
  <si>
    <r>
      <rPr>
        <vertAlign val="superscript"/>
        <sz val="10"/>
        <rFont val="Arial"/>
        <family val="2"/>
      </rPr>
      <t>4</t>
    </r>
    <r>
      <rPr>
        <sz val="10"/>
        <rFont val="Arial"/>
      </rPr>
      <t xml:space="preserve">Yield of soybean meal from Table 32 (footnote 1) of USDA Agricultural Handbook 697. </t>
    </r>
  </si>
  <si>
    <t>lbs of oil</t>
  </si>
  <si>
    <t>% of all plant oil</t>
  </si>
  <si>
    <t>lbs CP</t>
  </si>
  <si>
    <t>Protein contained in the displaced oilseeds</t>
  </si>
  <si>
    <t>User's assumption. Dietary guidelines suggest avoiding these foods.</t>
  </si>
  <si>
    <t>Actual amount substituted.</t>
  </si>
  <si>
    <t>After substituting lard (tallow) for fraction of plant oils</t>
  </si>
  <si>
    <r>
      <t xml:space="preserve">After substituting lard (tallow) </t>
    </r>
    <r>
      <rPr>
        <u/>
        <sz val="10"/>
        <rFont val="Arial"/>
        <family val="2"/>
      </rPr>
      <t>and corn oil</t>
    </r>
    <r>
      <rPr>
        <sz val="10"/>
        <rFont val="Arial"/>
      </rPr>
      <t xml:space="preserve"> for fraction of plant oils</t>
    </r>
  </si>
  <si>
    <t>lbs of fat</t>
  </si>
  <si>
    <t>Area of grazing land available</t>
  </si>
  <si>
    <t>Area of cropland available</t>
  </si>
  <si>
    <t>Yield of cropland used for grazing</t>
  </si>
  <si>
    <t>Yield of grazing land</t>
  </si>
  <si>
    <t>Adjusted area of cultivated cropland</t>
  </si>
  <si>
    <t>Area in perennial forage crops</t>
  </si>
  <si>
    <t>STEP 1: Calculate ratio of available grazing land to available cropland</t>
  </si>
  <si>
    <t>Land suited for grazing only. See Land availability worksheet for more details.</t>
  </si>
  <si>
    <t>Land available for cropping after accounting for crop failure, fallow, idle land, and non-food uses. See land availability for more details.</t>
  </si>
  <si>
    <t>STEP 2: Calculate productivity ratio of cropland to grazing land</t>
  </si>
  <si>
    <t>lbs DM/acre</t>
  </si>
  <si>
    <t>STEP 3: Calculate ratio of required grazing land to required cropland</t>
  </si>
  <si>
    <t>Accounts for multiuse crops and corrects for double-counting.</t>
  </si>
  <si>
    <t>Area in hay crops only. Grazing excluded from initial land requirement calculations.</t>
  </si>
  <si>
    <t>Cultivated cropland divided by cropping intensity to determine footprint of land in cultivated crops.</t>
  </si>
  <si>
    <t>Initial calculation assumes all grazing occurs on this land type.</t>
  </si>
  <si>
    <t>acres/person/yr</t>
  </si>
  <si>
    <t>STEP 4: Calculate adjustment to prevent over-allocation of grazing land</t>
  </si>
  <si>
    <t>Allocates spare cropland to grazing if grazing land is exhausted (ratio required exceeds ratio available).</t>
  </si>
  <si>
    <t>Based directly on cropland shifted (see C26).</t>
  </si>
  <si>
    <t>Adjusted area, cropland</t>
  </si>
  <si>
    <t>Ratio, adjusted grazing area to adjusted cropland area</t>
  </si>
  <si>
    <t>Check to assure grazing land allocation does not exceed availability.</t>
  </si>
  <si>
    <t>Assumes higher productivity on cropland than permanent pasture and range. See SI for details.</t>
  </si>
  <si>
    <t>GRAZING LAND ADJUSTMENTS</t>
  </si>
  <si>
    <t>The land requirement calculations are made intially under the assumption that grazing needs will be supplied by grazing land only. Under some diet scenarios, this assumption results in over-allocation of grazing land relative to cropland, and the model will not use all available cropland. These calculations account for such suboptimal land allocations by permitting cropland to be used for grazing in addition to permanent grazing lands.</t>
  </si>
  <si>
    <t>Cultivated Cropland required [ac] using national average yields</t>
  </si>
  <si>
    <t>Perennial forage cropland required (ac) using national average yields</t>
  </si>
  <si>
    <t>Area of cultivated cropland required, raw</t>
  </si>
  <si>
    <t>Simple sum of cultivated area harvested for all crops.</t>
  </si>
  <si>
    <t>No disclosed data on production from USDA or no commercial production in US.</t>
  </si>
  <si>
    <t>Information on feed requirements not obtained for model. Excluded from "Users diet" worksheet.</t>
  </si>
  <si>
    <t>No cropland or grazing land required. Assumes all production is wild-harvested.</t>
  </si>
  <si>
    <t>Other nuts includes species not grown in U.S.</t>
  </si>
  <si>
    <t>Model assumes corn oil produced only as a co-product of starch and sweetener manufacturing. See multicrop adjustment for mode details.</t>
  </si>
  <si>
    <t>Model assumes lard is produced only as a co-product of pork slaughter. See multicrop adjustment for mode details.</t>
  </si>
  <si>
    <t>Model assumes tallow is produced only as a co-product of beef slaughter. See multicrop adjustment for mode details.</t>
  </si>
  <si>
    <t>Cottonseed excluded from model since it is a non-food crop.</t>
  </si>
  <si>
    <t>Footprint of cultivated land (accounts for multicropping)</t>
  </si>
  <si>
    <t>Hay/halage (excluding alfalfa)</t>
  </si>
  <si>
    <t>Hay_haylage_exlc_alfalfa</t>
  </si>
  <si>
    <t>SYRUPS,MAPLE &amp; SYRUPS, TABLE BLENDS,CANE &amp; 15% MAPLE &amp; SYRUPS,TABLE BLENDS,CORN,REFINER,&amp;SUGAR</t>
  </si>
  <si>
    <t>HONEY</t>
  </si>
  <si>
    <t>all preparations</t>
  </si>
  <si>
    <t>drained solids</t>
  </si>
  <si>
    <t>dried and salted</t>
  </si>
  <si>
    <r>
      <t xml:space="preserve">This worksheet reports the assumptions made regarding livestock feed requirements. The values shown are from a model of livestock feed requirements from Peters et al. (2014) published in </t>
    </r>
    <r>
      <rPr>
        <i/>
        <sz val="10"/>
        <rFont val="Arial"/>
        <family val="2"/>
      </rPr>
      <t>Agricultural Systems</t>
    </r>
    <r>
      <rPr>
        <sz val="10"/>
        <rFont val="Arial"/>
      </rPr>
      <t>. Feed needs are reported on an as-fed basis. Note that the dry matter percentages reported in feed composition data differ from the dry matter percentages used to normalize USDA crop yields. The conversion factor used to adust feed requirements to the equivalent dry matter of crops is reported in row 28. In addition, any conversions between the feed form and crop form (such as oil extraction from soybeans) is accounted for in row 31.</t>
    </r>
  </si>
  <si>
    <t>Red and Orange vegetables</t>
  </si>
  <si>
    <t>Red and Orange Vegetables</t>
  </si>
  <si>
    <t xml:space="preserve">  Red and Orange Vegetables</t>
  </si>
  <si>
    <t>Hay</t>
  </si>
  <si>
    <t>Pasture</t>
  </si>
  <si>
    <t>Pulses</t>
  </si>
  <si>
    <t>Nuts</t>
  </si>
  <si>
    <t>Feed grains and oilseeds</t>
  </si>
  <si>
    <t>TOTAL cropland</t>
  </si>
  <si>
    <t>Includes tofu and soy milk</t>
  </si>
  <si>
    <r>
      <t>Area harvested (acres person</t>
    </r>
    <r>
      <rPr>
        <b/>
        <vertAlign val="superscript"/>
        <sz val="10"/>
        <rFont val="Arial"/>
        <family val="2"/>
      </rPr>
      <t>-1</t>
    </r>
    <r>
      <rPr>
        <b/>
        <sz val="10"/>
        <rFont val="Arial"/>
        <family val="2"/>
      </rPr>
      <t xml:space="preserve"> yr</t>
    </r>
    <r>
      <rPr>
        <b/>
        <vertAlign val="superscript"/>
        <sz val="10"/>
        <rFont val="Arial"/>
        <family val="2"/>
      </rPr>
      <t>-1</t>
    </r>
    <r>
      <rPr>
        <b/>
        <sz val="10"/>
        <rFont val="Arial"/>
        <family val="2"/>
      </rPr>
      <t>)</t>
    </r>
  </si>
  <si>
    <t>Area harvested (% of total)</t>
  </si>
  <si>
    <r>
      <t>Land in crops, accounting for cropping intensity (acres person</t>
    </r>
    <r>
      <rPr>
        <b/>
        <vertAlign val="superscript"/>
        <sz val="10"/>
        <rFont val="Arial"/>
        <family val="2"/>
      </rPr>
      <t>-1</t>
    </r>
    <r>
      <rPr>
        <b/>
        <sz val="10"/>
        <rFont val="Arial"/>
        <family val="2"/>
      </rPr>
      <t xml:space="preserve"> yr</t>
    </r>
    <r>
      <rPr>
        <b/>
        <vertAlign val="superscript"/>
        <sz val="10"/>
        <rFont val="Arial"/>
        <family val="2"/>
      </rPr>
      <t>-1</t>
    </r>
    <r>
      <rPr>
        <b/>
        <sz val="10"/>
        <rFont val="Arial"/>
        <family val="2"/>
      </rPr>
      <t>)</t>
    </r>
  </si>
  <si>
    <t>Land in crops, accounting for cropping intensity (% of total)</t>
  </si>
  <si>
    <t>Plant oils</t>
  </si>
  <si>
    <t>Animal fat (lard and tallow)</t>
  </si>
  <si>
    <t>grams allowed in diet</t>
  </si>
  <si>
    <t xml:space="preserve">  Cow milk products</t>
  </si>
  <si>
    <t xml:space="preserve">    Fluid milk and yogurt</t>
  </si>
  <si>
    <t xml:space="preserve">    Cheese and other dairy</t>
  </si>
  <si>
    <t>This workbook is a spreadsheet model for estimating the land requirements of the human diet. It has been parameterized for the continental USA.  However, it is intended to serve as a general framework for making such estimations for other geographic areas. This worksheet explains the general format of the file and the relationships between worksheets. For a complete description of the methods, please see the supporting information for Peters et al. (2015).</t>
  </si>
  <si>
    <t>Worksheet name</t>
  </si>
  <si>
    <t>Description</t>
  </si>
  <si>
    <t>Users diet</t>
  </si>
  <si>
    <t>Interface for an individual to use the model to examine a diet of interest.</t>
  </si>
  <si>
    <t>Dietary recommendations</t>
  </si>
  <si>
    <t>Reports the dietary recommendations of the 2010 Dietary Guidelines for Americans by age-gender cohort and an average for the U.S.</t>
  </si>
  <si>
    <t>Food preferences</t>
  </si>
  <si>
    <t>Reports estimated consumption from USDA loss-adjusted food supply data. Also includes assumptions about the individual food commodities that compose each food group.</t>
  </si>
  <si>
    <t>Nutrient composition</t>
  </si>
  <si>
    <t>Reports the nutrient composition of each individual food commodity included in the model.</t>
  </si>
  <si>
    <t>Losses and waste</t>
  </si>
  <si>
    <t>Reports the loss adjustment factors used to account for spoilage and waste in the food supply.</t>
  </si>
  <si>
    <t>Reports the conversion factors used to determine the weight of agricultural commodities used to create processed food commodities.</t>
  </si>
  <si>
    <t>Processing conversions</t>
  </si>
  <si>
    <t xml:space="preserve">Food requirements </t>
  </si>
  <si>
    <t>Tabulates annual per capita food needs on both primary food commodity and agricultural commodity bases.</t>
  </si>
  <si>
    <t>Livestock feed requirements</t>
  </si>
  <si>
    <t>Reports the aggregate feed needs per unit of food commodity output for six livestock products: beef, chicken, dairy, eggs, pork, and turkey.</t>
  </si>
  <si>
    <t>Crop and grazing yields</t>
  </si>
  <si>
    <t>Reports estimates of crop productivity and grazing land productivity used in the model.</t>
  </si>
  <si>
    <t>Land requirements</t>
  </si>
  <si>
    <t>Tabulates the raw estimates of land requirements per food commodity (or food commodity-feed ingredient combination).</t>
  </si>
  <si>
    <t>Multiuse crop adjustment</t>
  </si>
  <si>
    <t>Determines the adjustment needed to correct for possible double-counting of land needs for multi-use crops, such as soybean.</t>
  </si>
  <si>
    <t>Grazing land adjustment</t>
  </si>
  <si>
    <t>Determines the adjustment needed to allow cropland to substitute for grazing land in diet scenarios with high grazing land requirements.</t>
  </si>
  <si>
    <t>Land availability</t>
  </si>
  <si>
    <t>Tabulates area of land available for cultivated crops, perennial crops, and grazing.</t>
  </si>
  <si>
    <t>Dairy processing conversions</t>
  </si>
  <si>
    <t>Tabulates the limiting fraction in fluid milk (milk fat or non-fat solids) that determines the conversion factor for dairy products.</t>
  </si>
  <si>
    <t>Intake entered directly into "Users diet" worksheet</t>
  </si>
  <si>
    <t>Excluded from initial calculations. May be added back in multiuse crop adjustment.</t>
  </si>
  <si>
    <t>Excluded. Non-food crop.</t>
  </si>
  <si>
    <t xml:space="preserve">Average of brown and white rice. From International Rice Research Institute (undated). </t>
  </si>
  <si>
    <t>1 - International Rice Research Institute (IRRI). Undated. Rice Milling. Agricultural Engineering Unit, IRRI. Available at Web site: http://www.knowledgebank.irri.org/postproductioncourse/factsheetsNRefences/Milling/Teaching%20Manual%20Rice%20Milling.doc (verified 13 February 2015).</t>
  </si>
  <si>
    <t>Not included in AH697. Obtained estimate of yield of white rye flour from grain via personal communication with Colleen Zammer of Bay State Milling  (January 4, 2012).</t>
  </si>
  <si>
    <t>no data</t>
  </si>
  <si>
    <t>Includes nuts not grown commercially in the U.S.</t>
  </si>
  <si>
    <t>Maple syrup not grown on cropland or grazing land, hence outside model scope.</t>
  </si>
  <si>
    <t>Land requirement of honey is unclear, hence removed from model.</t>
  </si>
  <si>
    <t>Consumption zeroed. Land used for maple syrup is woodland, not cropland or grazing land. Availability of suitable land is unclear.</t>
  </si>
  <si>
    <t>Consumption zeroed. Land requirement of honey production is unclear.</t>
  </si>
  <si>
    <t>see notes</t>
  </si>
  <si>
    <t>See "Fats and oils" worksheet for processing yields.</t>
  </si>
  <si>
    <t>Multiple oil sources. Agricultural commodity requirements calculated for indivdual component crops in "Land requirements" worksheet (Column E).</t>
  </si>
  <si>
    <t>Food intake (columns D and E) represents cooked beans.  Primary food commodity (column F) is uncooked beans. Conversion assumes harvested dry beans have 12% moisture.</t>
  </si>
  <si>
    <t>Excluded from model. This row is a placeholder if lamb were to be added at a later date.</t>
  </si>
  <si>
    <t>Not modeled explicitly. Livestock feed calculations implicitly assume that a portion of dairy calves are raised for veal.</t>
  </si>
  <si>
    <t>Round weights of seafood products are not calculated since they would not be used in the model.</t>
  </si>
  <si>
    <t>Excluded from model. Not grown commercially in U.S.</t>
  </si>
  <si>
    <t>Excluded from model. Most nuts in this commodity group are not grown commercially in U.S.</t>
  </si>
  <si>
    <t>SOURCES:</t>
  </si>
  <si>
    <t>Consumption zeroed. Land used for mushrooms is considered "under glass" and not part of cropland area.</t>
  </si>
  <si>
    <t>2 - Data for sweet potatoes from USDA, National Agricultural Statistics Service (NASS). 2010. Agricultural Statistics 2010. Government Printing Office, Washington, D.C. Available at Web site: http://www.nass.usda.gov/Publications/Ag_Statistics/2010/2010.pdf (verified 16 November 2014). Data for raisins from USDA National Agricultural Statistics Service, California Field Office (NASS-CA), 2011. California Agricultural Statistics, 2010 Crop Year. Sacramento, California. Available at Web site: http://www.nass.usda.gov/Statistics_by_State/California/Publications/California_Ag_Statistics/Reports/2010cas-all.pdf (verified 16 November 2014).</t>
  </si>
  <si>
    <t>1 - Data from USDA, National Agricultural Statistics Service (NASS). 2014. Quick Stats database [on-line]. Accessed September 2011. Available at Web site: http://quickstats.nass.usda.gov/ (verified 14 November 2014).</t>
  </si>
  <si>
    <t>3 - Data for non-citrus fruit from USDA, National Agricultural Statistics Service (NASS). 2008. Noncitrus Fruit and Nuts, Final Estimates 2002-2007. Statistical Bulletin No. 1011. Available at Web site: http://usda.mannlib.cornell.edu/usda/nass/SB985/sb1011.pdf (verified 16 November 2014) and USDA, National Agricultural Statistics Service (NASS). 2011. Noncitrus Fruit and Nuts, 2010 Summary. Available at Web site: http://usda.mannlib.cornell.edu/usda/nass/NoncFruiNu//2010s/2011/NoncFruiNu-07-07-2011.pdf (verified 16 November 2014).</t>
  </si>
  <si>
    <r>
      <t>Fruits, non-citrus</t>
    </r>
    <r>
      <rPr>
        <b/>
        <vertAlign val="superscript"/>
        <sz val="10"/>
        <rFont val="Arial"/>
        <family val="2"/>
      </rPr>
      <t xml:space="preserve"> 3</t>
    </r>
  </si>
  <si>
    <t>Bananas (HI)</t>
  </si>
  <si>
    <t>Blackberries (OR)</t>
  </si>
  <si>
    <t xml:space="preserve">     Cultivated</t>
  </si>
  <si>
    <t>Papayas (HI)</t>
  </si>
  <si>
    <t>Prunes &amp; Plums</t>
  </si>
  <si>
    <t>Mushrooms are not grown on cropland. Hence, consumption was zeroed.</t>
  </si>
  <si>
    <t>Commercial production in U.S. occurs only in Hawaii.</t>
  </si>
  <si>
    <t>Grown commercially, but yield data unavailable.</t>
  </si>
  <si>
    <t>Consumption zeroed. Yield data are not available and cannot be calculated from production as bearing acreage data are not reported.</t>
  </si>
  <si>
    <t>4 - Yield data and bearing acreage data not reported for pecans.</t>
  </si>
  <si>
    <r>
      <t>Tree nuts</t>
    </r>
    <r>
      <rPr>
        <b/>
        <vertAlign val="superscript"/>
        <sz val="10"/>
        <rFont val="Arial"/>
        <family val="2"/>
      </rPr>
      <t xml:space="preserve"> 3,4</t>
    </r>
  </si>
  <si>
    <t>Almonds (CA)</t>
  </si>
  <si>
    <t>5 - Data for citrus fruit from USDA, National Agricultural Statistics Service (NASS). 2004. Citrus Fruit Final Estimates, 1997-2002. Statistical Bulletin No. 997 (04). Available at Web site: http://usda.mannlib.cornell.edu/usda/nass/SB997/sb997.pdf (verified 14 November 2014),  USDA, National Agricultural Statistics Service (NASS). 2008. Citrus Fruit Final Estimates, 2003-2007. Statistical Bulletin No. 1009. Available at Web site: http://usda.mannlib.cornell.edu/usda/nass/SB997/sb1009.pdf (verifeid 14 November 2014), and USDA, National Agricultural Statistics Service (NASS). 2010. Citrus Fruit 2010 Summary. Available at Web site: http://usda.mannlib.cornell.edu/usda/nass/CitrFrui//2010s/2010/CitrFrui-09-23-2010.pdf (verified 14 November 2014).</t>
  </si>
  <si>
    <r>
      <t>Field crops</t>
    </r>
    <r>
      <rPr>
        <b/>
        <vertAlign val="superscript"/>
        <sz val="10"/>
        <rFont val="Arial"/>
        <family val="2"/>
      </rPr>
      <t xml:space="preserve"> 1</t>
    </r>
  </si>
  <si>
    <t>Alfalfa hay</t>
  </si>
  <si>
    <t>Lentils</t>
  </si>
  <si>
    <t>Dry peas</t>
  </si>
  <si>
    <t>Sugar beet</t>
  </si>
  <si>
    <t>Sugar cane</t>
  </si>
  <si>
    <t>Wheat</t>
  </si>
  <si>
    <t>6 - Data for cottonseed from USDA, National Agricultural Statistics Service (NASS). 2011. Agricultural Statistics 2011. Government Printing Office, Washington, D.C. Available at Web site: http://www.nass.usda.gov/Publications/Ag_Statistics/2011/2011_Final.pdf (verified 18 February 2015).</t>
  </si>
  <si>
    <t>Field crops, other data sources</t>
  </si>
  <si>
    <t>7 - Authors' calculations from various USDA data. See Supporting Information text for additional details.</t>
  </si>
  <si>
    <r>
      <t>Grazing yields</t>
    </r>
    <r>
      <rPr>
        <b/>
        <vertAlign val="superscript"/>
        <sz val="10"/>
        <rFont val="Arial"/>
        <family val="2"/>
      </rPr>
      <t xml:space="preserve"> 7</t>
    </r>
  </si>
  <si>
    <t>Cropland pasture</t>
  </si>
  <si>
    <t>Grazing lands, average for all other private and public grazing lands</t>
  </si>
  <si>
    <r>
      <t>Citrus fruit</t>
    </r>
    <r>
      <rPr>
        <b/>
        <vertAlign val="superscript"/>
        <sz val="10"/>
        <color theme="1"/>
        <rFont val="Arial"/>
        <family val="2"/>
      </rPr>
      <t xml:space="preserve"> 5</t>
    </r>
  </si>
  <si>
    <r>
      <t xml:space="preserve">Vegetables, QuickStats database </t>
    </r>
    <r>
      <rPr>
        <b/>
        <vertAlign val="superscript"/>
        <sz val="10"/>
        <rFont val="Arial"/>
        <family val="2"/>
      </rPr>
      <t>1</t>
    </r>
  </si>
  <si>
    <r>
      <t>Vegetables and fruits, other data sources</t>
    </r>
    <r>
      <rPr>
        <b/>
        <vertAlign val="superscript"/>
        <sz val="10"/>
        <color theme="1"/>
        <rFont val="Arial"/>
        <family val="2"/>
      </rPr>
      <t>2</t>
    </r>
  </si>
  <si>
    <t>Weighted average yield of sugarbeet and sugarcane based on personal communication with Stephen Harley, USDA-ERS, on Feb. 10, 2012.</t>
  </si>
  <si>
    <t>This worksheet contains the average crop yields using data collected from USDA NASS.  Most data were obtained through the QuickStats on-line database. In some cases, data were not available via QuickStats, so alternate USDA sources were used. See footnotes at bottom of table for further information.</t>
  </si>
  <si>
    <t>Lettuce_Leaf</t>
  </si>
  <si>
    <t>Prunes and plums</t>
  </si>
  <si>
    <t>After substituting corn oil for a fraction of other plant oils</t>
  </si>
  <si>
    <t>Amount allowed in diet</t>
  </si>
  <si>
    <t>Maximum potential substitution</t>
  </si>
  <si>
    <t xml:space="preserve">Substitution cannot exceed the amount of lard and tallow in meat-producing livestock or the amount of added fat from plant oils. </t>
  </si>
  <si>
    <t>Cannot exceed raw calculation of land needed for livestock feed.</t>
  </si>
  <si>
    <t>Oilseed land spared by corn oil from starch and sweetener production</t>
  </si>
  <si>
    <t>Oilseed land spared by lard and tallow from beef and pork production</t>
  </si>
  <si>
    <t>Livestock feed land spared by protein concetrate from corn and oilseed production</t>
  </si>
  <si>
    <t>Unused protein concentrate (lbs CP)</t>
  </si>
  <si>
    <t>Unused plant oils (lbs oil)</t>
  </si>
  <si>
    <t>Unused lard (lbs)</t>
  </si>
  <si>
    <t>Unused resources</t>
  </si>
  <si>
    <t>Amount</t>
  </si>
  <si>
    <t>Value for whole milk from AH-697, Table 19.</t>
  </si>
  <si>
    <t>FATS AND OILS</t>
  </si>
  <si>
    <t>Individual plant oils and animal fats</t>
  </si>
  <si>
    <t>The purpose of this table is to decompose primary food commodities in the added fats and oils food group into individual plant oils and animal fats. Dairy fats are not included here since they are all derived from milk and are accounted for in the dairy processing conversions worksheet. The worksheet also contains information on the yield of oil from oilseeds and fat from liveweight of animals. Note that corn oil, lard, and tallow are considered coproducts of other industries and they are accounted for in the multiuse crop adjustment worksheet. Primary purpose of this worksheet is to distribute the share of consumption across the crops grown primarily for oil within the U.S. that are reported in the Oil Crops Yearbook, namely, canola, olive, peanut, and soybean. Cottonseed is considered a byproduct of fiber production and has been excluded from the model. Similarly, tropical oils, such as palm oil, are excluded from the model. For more information, see the Supporting Information text.</t>
  </si>
  <si>
    <t>Adjusted proportion, Salad &amp; Cooking Oil</t>
  </si>
  <si>
    <t>Adjusted proportion, Other Edible Fats &amp; Oils</t>
  </si>
  <si>
    <t>Adjusted proportion, Margarine</t>
  </si>
  <si>
    <r>
      <t xml:space="preserve">Shortening, proportion × local availability </t>
    </r>
    <r>
      <rPr>
        <b/>
        <vertAlign val="superscript"/>
        <sz val="10"/>
        <rFont val="Arial"/>
        <family val="2"/>
      </rPr>
      <t>4</t>
    </r>
  </si>
  <si>
    <t>Adjusted proportion, Shortening</t>
  </si>
  <si>
    <r>
      <t xml:space="preserve">Salad &amp; cooking oil, proportion </t>
    </r>
    <r>
      <rPr>
        <b/>
        <sz val="10"/>
        <rFont val="Calibri"/>
        <family val="2"/>
      </rPr>
      <t>×</t>
    </r>
    <r>
      <rPr>
        <b/>
        <sz val="10"/>
        <rFont val="Arial"/>
        <family val="2"/>
      </rPr>
      <t xml:space="preserve"> local availability</t>
    </r>
    <r>
      <rPr>
        <b/>
        <vertAlign val="superscript"/>
        <sz val="10"/>
        <rFont val="Arial"/>
        <family val="2"/>
      </rPr>
      <t xml:space="preserve"> 1</t>
    </r>
  </si>
  <si>
    <r>
      <t xml:space="preserve">Other edible fats &amp; oils, proportion </t>
    </r>
    <r>
      <rPr>
        <b/>
        <sz val="10"/>
        <rFont val="Calibri"/>
        <family val="2"/>
      </rPr>
      <t>×</t>
    </r>
    <r>
      <rPr>
        <b/>
        <sz val="10"/>
        <rFont val="Arial"/>
        <family val="2"/>
      </rPr>
      <t xml:space="preserve"> local availability </t>
    </r>
    <r>
      <rPr>
        <b/>
        <vertAlign val="superscript"/>
        <sz val="10"/>
        <rFont val="Arial"/>
        <family val="2"/>
      </rPr>
      <t>2</t>
    </r>
  </si>
  <si>
    <r>
      <t xml:space="preserve">Margarine, proportion × local availability </t>
    </r>
    <r>
      <rPr>
        <b/>
        <vertAlign val="superscript"/>
        <sz val="10"/>
        <rFont val="Arial"/>
        <family val="2"/>
      </rPr>
      <t>3</t>
    </r>
  </si>
  <si>
    <t>Subtotal</t>
  </si>
  <si>
    <t>D = data not disclosed in the Oil Crops Yearbook</t>
  </si>
  <si>
    <t>D</t>
  </si>
  <si>
    <t>NR = plant oil or animal fat is not reported in the Oil Crops Yearbook for the food commodity in question</t>
  </si>
  <si>
    <t>NR</t>
  </si>
  <si>
    <t>1 - Values are the product of the proportion derived from Table 37 of the Oil Crops Yearbook and the local availability value shown in the food preferences worksheet. Proportions were derived from the weights reported in the Oil Crops Yearbook for individual plant oils and total oils in the food commodity. Proportions were calculated using data from 2001-2010. The proportion is embedded in the cell formulas.</t>
  </si>
  <si>
    <t>4 - Values are the product of the proportion derived from Table 39 of the Oil Crops Yearbook and the local availability value shown in the food preferences worksheet. Proportions were derived from the weights reported in the Oil Crops Yearbook for individual plant oils and total oils in the food commodity. Proportions were calculated using data from 2001-2010. The proportion is embedded in the cell formulas.</t>
  </si>
  <si>
    <t>3 - Values are the product of the proportion derived from Table 41 of the Oil Crops Yearbook and the local availability value shown in the food preferences worksheet. Proportions were derived from the weights reported in the Oil Crops Yearbook for individual plant oils and total oils in the food commodity. Proportions were calculated using data from 2001-2007, data were undisclosed from 2008 onward. The proportion is embedded in the cell formulas.</t>
  </si>
  <si>
    <t>Source:  Table 31 in Agricultural Handbook 697.</t>
  </si>
  <si>
    <t>Source:  Table 27 in Agricultural Handbook 697.</t>
  </si>
  <si>
    <t>Source:   Tables 32 and 34 in Agricultural Handbook 697.</t>
  </si>
  <si>
    <t>Source:  Tables 59 (0.167 ton crude oil per ton of cottonseed) and Table 34 (0.9 conversion efficienty for refined oil from crude oil) in Agricultural Handbook 697.</t>
  </si>
  <si>
    <t>Source: Table 13 in Agricultural Handbook 697.</t>
  </si>
  <si>
    <t>Source: Tables 8 and 11 in Agricultural Handbook 697.</t>
  </si>
  <si>
    <t>Source:  Canola seed is 42% oil (source:  www.canolacouncil.org/uploads/Oilprocessing.pdfSimilar [accessed Mar. 6, 2012]).  Table 34 of Agricultural Handbook 697 provides a conversion from crude oil to refined @ 96% (4% loss).   Canola Council of Canada states 96% processing yield with hexane extraction and 75 to 85% with mechanical (cold pressing) @ website http://www.canolainfo.org/canola/index.php?page=6.</t>
  </si>
  <si>
    <t>Fats and oils</t>
  </si>
  <si>
    <t>Reports assumptions about the individual plant oils and animal fats that compose particular food commodities in the added fats food group.</t>
  </si>
  <si>
    <t>USER'S DIET, USA</t>
  </si>
  <si>
    <t>2 - Proportion composed by soybean oil obtained from USDA-ERS (personal communication w/ Mark Ash on 19 March 2012). Remainder of Other edible fats and oils assumed to come from cottonseed, corn, peanut, and canola oils. Values shown are the product of this proportion and the local availability value shown in the food preferences worksheet. Proportions are embedded in the cell formulas.</t>
  </si>
  <si>
    <t>Sources:  "Understanding Olive Oil Yield" by Paul Vossen with U of California (Sonoma Co.) available at cenapa.ucdavis.edu/files/52581.pdf and USDA AH-697.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</si>
</sst>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_);_(* \(#,##0\);_(* &quot;-&quot;??_);_(@_)"/>
    <numFmt numFmtId="166" formatCode="0.0"/>
    <numFmt numFmtId="167" formatCode="0.0000"/>
    <numFmt numFmtId="168" formatCode="0.0%"/>
    <numFmt numFmtId="169" formatCode="_(* #,##0.0_);_(* \(#,##0.0\);_(* &quot;-&quot;??_);_(@_)"/>
    <numFmt numFmtId="170" formatCode="0.000"/>
    <numFmt numFmtId="171" formatCode="0.000000000000000%"/>
    <numFmt numFmtId="172" formatCode="0.00000"/>
    <numFmt numFmtId="173" formatCode="_(* #,##0.000_);_(* \(#,##0.000\);_(* &quot;-&quot;??_);_(@_)"/>
    <numFmt numFmtId="174" formatCode="0.000000"/>
  </numFmts>
  <fonts count="42" x14ac:knownFonts="1">
    <font>
      <sz val="10"/>
      <name val="Arial"/>
    </font>
    <font>
      <sz val="11"/>
      <color theme="1"/>
      <name val="Calibri"/>
      <family val="2"/>
      <scheme val="minor"/>
    </font>
    <font>
      <sz val="10"/>
      <name val="Arial"/>
      <family val="2"/>
    </font>
    <font>
      <b/>
      <sz val="10"/>
      <name val="Arial"/>
      <family val="2"/>
    </font>
    <font>
      <sz val="8"/>
      <name val="Arial"/>
      <family val="2"/>
    </font>
    <font>
      <i/>
      <sz val="10"/>
      <name val="Arial"/>
      <family val="2"/>
    </font>
    <font>
      <sz val="10"/>
      <name val="Arial"/>
      <family val="2"/>
    </font>
    <font>
      <u/>
      <sz val="10"/>
      <name val="Arial"/>
      <family val="2"/>
    </font>
    <font>
      <sz val="10"/>
      <color theme="1"/>
      <name val="Arial"/>
      <family val="2"/>
    </font>
    <font>
      <b/>
      <sz val="10"/>
      <color theme="1"/>
      <name val="Arial"/>
      <family val="2"/>
    </font>
    <font>
      <u/>
      <sz val="10"/>
      <color theme="10"/>
      <name val="Arial"/>
      <family val="2"/>
    </font>
    <font>
      <b/>
      <sz val="9"/>
      <color indexed="81"/>
      <name val="Tahoma"/>
      <family val="2"/>
    </font>
    <font>
      <sz val="9"/>
      <color indexed="81"/>
      <name val="Tahoma"/>
      <family val="2"/>
    </font>
    <font>
      <i/>
      <sz val="10"/>
      <color theme="1"/>
      <name val="Arial"/>
      <family val="2"/>
    </font>
    <font>
      <b/>
      <i/>
      <sz val="10"/>
      <name val="Arial"/>
      <family val="2"/>
    </font>
    <font>
      <sz val="12"/>
      <color theme="1"/>
      <name val="Garamond"/>
      <family val="1"/>
    </font>
    <font>
      <b/>
      <u/>
      <sz val="12"/>
      <color theme="1"/>
      <name val="Garamond"/>
      <family val="1"/>
    </font>
    <font>
      <b/>
      <u/>
      <sz val="10"/>
      <name val="Arial"/>
      <family val="2"/>
    </font>
    <font>
      <b/>
      <sz val="10"/>
      <color indexed="8"/>
      <name val="Times New Roman"/>
      <family val="1"/>
    </font>
    <font>
      <b/>
      <sz val="12"/>
      <color indexed="8"/>
      <name val="Times New Roman"/>
      <family val="1"/>
    </font>
    <font>
      <strike/>
      <sz val="10"/>
      <name val="Arial"/>
      <family val="2"/>
    </font>
    <font>
      <sz val="10"/>
      <color rgb="FF000000"/>
      <name val="Arial"/>
      <family val="2"/>
    </font>
    <font>
      <b/>
      <sz val="10"/>
      <color rgb="FFFF0000"/>
      <name val="Arial"/>
      <family val="2"/>
    </font>
    <font>
      <b/>
      <sz val="8"/>
      <color indexed="81"/>
      <name val="Tahoma"/>
      <family val="2"/>
    </font>
    <font>
      <sz val="8"/>
      <color indexed="81"/>
      <name val="Tahoma"/>
      <family val="2"/>
    </font>
    <font>
      <b/>
      <sz val="11"/>
      <color theme="1"/>
      <name val="Arial"/>
      <family val="2"/>
    </font>
    <font>
      <sz val="11"/>
      <color theme="1"/>
      <name val="Arial"/>
      <family val="2"/>
    </font>
    <font>
      <i/>
      <sz val="10"/>
      <color indexed="8"/>
      <name val="Times New Roman"/>
      <family val="1"/>
    </font>
    <font>
      <b/>
      <sz val="10"/>
      <color rgb="FF000000"/>
      <name val="Arial"/>
      <family val="2"/>
    </font>
    <font>
      <b/>
      <vertAlign val="superscript"/>
      <sz val="10"/>
      <name val="Arial"/>
      <family val="2"/>
    </font>
    <font>
      <sz val="10"/>
      <name val="MS Sans Serif"/>
      <family val="2"/>
    </font>
    <font>
      <vertAlign val="superscript"/>
      <sz val="10"/>
      <name val="Arial"/>
      <family val="2"/>
    </font>
    <font>
      <b/>
      <vertAlign val="superscript"/>
      <sz val="11"/>
      <color theme="1"/>
      <name val="Arial"/>
      <family val="2"/>
    </font>
    <font>
      <vertAlign val="superscript"/>
      <sz val="10"/>
      <color theme="1"/>
      <name val="Arial"/>
      <family val="2"/>
    </font>
    <font>
      <sz val="10"/>
      <color indexed="8"/>
      <name val="Arial"/>
      <family val="2"/>
    </font>
    <font>
      <sz val="10"/>
      <name val="Courier"/>
      <family val="3"/>
    </font>
    <font>
      <u/>
      <sz val="8.25"/>
      <color theme="10"/>
      <name val="Calibri"/>
      <family val="2"/>
    </font>
    <font>
      <u/>
      <sz val="11"/>
      <color theme="10"/>
      <name val="Calibri"/>
      <family val="2"/>
    </font>
    <font>
      <sz val="10"/>
      <color rgb="FFFF0000"/>
      <name val="Arial"/>
      <family val="2"/>
    </font>
    <font>
      <b/>
      <vertAlign val="superscript"/>
      <sz val="10"/>
      <color theme="1"/>
      <name val="Arial"/>
      <family val="2"/>
    </font>
    <font>
      <b/>
      <u/>
      <sz val="10"/>
      <color theme="1"/>
      <name val="Arial"/>
      <family val="2"/>
    </font>
    <font>
      <b/>
      <sz val="10"/>
      <name val="Calibri"/>
      <family val="2"/>
    </font>
  </fonts>
  <fills count="33">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249977111117893"/>
        <bgColor indexed="64"/>
      </patternFill>
    </fill>
    <fill>
      <patternFill patternType="solid">
        <fgColor rgb="FF00B0F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4"/>
        <bgColor theme="4"/>
      </patternFill>
    </fill>
    <fill>
      <patternFill patternType="solid">
        <fgColor theme="6"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C5D9F1"/>
        <bgColor rgb="FF000000"/>
      </patternFill>
    </fill>
    <fill>
      <patternFill patternType="solid">
        <fgColor rgb="FFF2DCDB"/>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bgColor indexed="64"/>
      </patternFill>
    </fill>
    <fill>
      <patternFill patternType="solid">
        <fgColor theme="6"/>
        <bgColor indexed="64"/>
      </patternFill>
    </fill>
    <fill>
      <patternFill patternType="solid">
        <fgColor theme="0" tint="-4.9989318521683403E-2"/>
        <bgColor indexed="64"/>
      </patternFill>
    </fill>
  </fills>
  <borders count="47">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63">
    <xf numFmtId="0" fontId="0" fillId="0" borderId="0"/>
    <xf numFmtId="164"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0" fontId="1" fillId="0" borderId="0"/>
    <xf numFmtId="0" fontId="36" fillId="0" borderId="0" applyNumberFormat="0" applyFill="0" applyBorder="0" applyAlignment="0" applyProtection="0">
      <alignment vertical="top"/>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972">
    <xf numFmtId="0" fontId="0" fillId="0" borderId="0" xfId="0"/>
    <xf numFmtId="0" fontId="3" fillId="0" borderId="0" xfId="0" applyFont="1"/>
    <xf numFmtId="0" fontId="6" fillId="0" borderId="0" xfId="0" applyFont="1"/>
    <xf numFmtId="0" fontId="0" fillId="0" borderId="0" xfId="0" applyAlignment="1"/>
    <xf numFmtId="9" fontId="0" fillId="0" borderId="0" xfId="2" applyFont="1"/>
    <xf numFmtId="0" fontId="0" fillId="0" borderId="0" xfId="0" applyFill="1"/>
    <xf numFmtId="0" fontId="6" fillId="0" borderId="0" xfId="0" applyFont="1" applyFill="1"/>
    <xf numFmtId="0" fontId="6" fillId="0" borderId="1" xfId="0" applyFont="1" applyBorder="1"/>
    <xf numFmtId="0" fontId="0" fillId="0" borderId="1" xfId="0" applyBorder="1"/>
    <xf numFmtId="2" fontId="0" fillId="0" borderId="0" xfId="0" applyNumberFormat="1"/>
    <xf numFmtId="166" fontId="8" fillId="0" borderId="1" xfId="0" applyNumberFormat="1" applyFont="1" applyBorder="1" applyAlignment="1">
      <alignment horizontal="right"/>
    </xf>
    <xf numFmtId="0" fontId="8" fillId="0" borderId="0" xfId="0" applyFont="1" applyAlignment="1">
      <alignment horizontal="left"/>
    </xf>
    <xf numFmtId="0" fontId="8" fillId="0" borderId="0" xfId="0" applyFont="1" applyBorder="1" applyAlignment="1">
      <alignment horizontal="left"/>
    </xf>
    <xf numFmtId="0" fontId="8" fillId="0" borderId="0" xfId="0" applyFont="1" applyFill="1" applyBorder="1" applyAlignment="1">
      <alignment horizontal="left"/>
    </xf>
    <xf numFmtId="0" fontId="2" fillId="0" borderId="0" xfId="0" applyFont="1" applyFill="1"/>
    <xf numFmtId="0" fontId="2" fillId="0" borderId="0" xfId="0" applyFont="1"/>
    <xf numFmtId="167" fontId="0" fillId="0" borderId="0" xfId="0" applyNumberFormat="1"/>
    <xf numFmtId="10" fontId="0" fillId="0" borderId="0" xfId="2" applyNumberFormat="1" applyFont="1"/>
    <xf numFmtId="0" fontId="8" fillId="0" borderId="0" xfId="0" applyFont="1"/>
    <xf numFmtId="0" fontId="8" fillId="0" borderId="17" xfId="0" applyFont="1" applyBorder="1" applyAlignment="1">
      <alignment horizontal="left" vertical="center"/>
    </xf>
    <xf numFmtId="0" fontId="8" fillId="0" borderId="17" xfId="0" applyFont="1" applyBorder="1" applyAlignment="1">
      <alignment horizontal="left" vertical="center" wrapText="1"/>
    </xf>
    <xf numFmtId="0" fontId="8" fillId="0" borderId="17" xfId="0" applyFont="1" applyBorder="1" applyAlignment="1">
      <alignment horizontal="center" vertical="center" wrapText="1"/>
    </xf>
    <xf numFmtId="0" fontId="8" fillId="0" borderId="17" xfId="0" applyNumberFormat="1" applyFont="1" applyBorder="1" applyAlignment="1">
      <alignment horizontal="center" vertical="center" wrapText="1"/>
    </xf>
    <xf numFmtId="0" fontId="8" fillId="0" borderId="17" xfId="0" quotePrefix="1" applyNumberFormat="1" applyFont="1" applyBorder="1" applyAlignment="1">
      <alignment horizontal="center" vertical="center" wrapText="1"/>
    </xf>
    <xf numFmtId="0" fontId="2" fillId="0" borderId="17" xfId="0" applyFont="1" applyBorder="1" applyAlignment="1">
      <alignment horizontal="left" vertical="center"/>
    </xf>
    <xf numFmtId="0" fontId="2" fillId="0" borderId="1" xfId="0" applyFont="1" applyBorder="1"/>
    <xf numFmtId="0" fontId="0" fillId="0" borderId="0" xfId="0" applyFill="1" applyBorder="1" applyAlignment="1"/>
    <xf numFmtId="2" fontId="8" fillId="0" borderId="18" xfId="0" applyNumberFormat="1" applyFont="1" applyBorder="1" applyAlignment="1">
      <alignment horizontal="center" vertical="center" wrapText="1"/>
    </xf>
    <xf numFmtId="166" fontId="2" fillId="0" borderId="0" xfId="0" applyNumberFormat="1" applyFont="1"/>
    <xf numFmtId="0" fontId="3" fillId="0" borderId="17" xfId="0" applyFont="1" applyBorder="1" applyAlignment="1">
      <alignment vertical="center"/>
    </xf>
    <xf numFmtId="0" fontId="3" fillId="0" borderId="17" xfId="0" applyFont="1" applyBorder="1" applyAlignment="1">
      <alignment horizontal="center" vertical="center" wrapText="1"/>
    </xf>
    <xf numFmtId="0" fontId="8" fillId="0" borderId="1" xfId="0" applyFont="1" applyFill="1" applyBorder="1" applyAlignment="1">
      <alignment horizontal="left"/>
    </xf>
    <xf numFmtId="0" fontId="8" fillId="0" borderId="1" xfId="0" applyFont="1" applyBorder="1" applyAlignment="1">
      <alignment horizontal="left"/>
    </xf>
    <xf numFmtId="0" fontId="0" fillId="0" borderId="0" xfId="0" applyAlignment="1">
      <alignment horizontal="left"/>
    </xf>
    <xf numFmtId="0" fontId="0" fillId="0" borderId="1" xfId="0" applyBorder="1" applyAlignment="1">
      <alignment horizontal="left"/>
    </xf>
    <xf numFmtId="0" fontId="3" fillId="5" borderId="1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0" fillId="0" borderId="18" xfId="0" applyBorder="1"/>
    <xf numFmtId="0" fontId="0" fillId="0" borderId="20" xfId="0" applyBorder="1"/>
    <xf numFmtId="0" fontId="0" fillId="0" borderId="21" xfId="0" applyBorder="1"/>
    <xf numFmtId="10" fontId="0" fillId="0" borderId="20" xfId="0" applyNumberFormat="1" applyBorder="1"/>
    <xf numFmtId="0" fontId="8" fillId="0" borderId="19" xfId="0" applyNumberFormat="1" applyFont="1" applyBorder="1" applyAlignment="1">
      <alignment horizontal="center" vertical="center" wrapText="1"/>
    </xf>
    <xf numFmtId="2" fontId="2" fillId="0" borderId="12" xfId="0" applyNumberFormat="1" applyFont="1" applyBorder="1"/>
    <xf numFmtId="0" fontId="2" fillId="0" borderId="12" xfId="0" applyFont="1" applyBorder="1"/>
    <xf numFmtId="0" fontId="2" fillId="0" borderId="14" xfId="0" applyFont="1" applyBorder="1"/>
    <xf numFmtId="166" fontId="2" fillId="0" borderId="1" xfId="0" applyNumberFormat="1" applyFont="1" applyBorder="1"/>
    <xf numFmtId="0" fontId="2" fillId="0" borderId="0" xfId="0" applyFont="1" applyFill="1" applyBorder="1"/>
    <xf numFmtId="0" fontId="2" fillId="0" borderId="1" xfId="0" applyFont="1" applyFill="1" applyBorder="1"/>
    <xf numFmtId="0" fontId="0" fillId="0" borderId="9" xfId="0" applyBorder="1"/>
    <xf numFmtId="0" fontId="0" fillId="0" borderId="0" xfId="0" applyBorder="1"/>
    <xf numFmtId="0" fontId="3" fillId="0" borderId="17" xfId="0" applyFont="1" applyBorder="1" applyAlignment="1">
      <alignment horizontal="left" vertical="center"/>
    </xf>
    <xf numFmtId="0" fontId="2" fillId="0" borderId="0" xfId="0" applyFont="1" applyAlignment="1">
      <alignment horizontal="left"/>
    </xf>
    <xf numFmtId="10" fontId="0" fillId="6" borderId="0" xfId="2" applyNumberFormat="1" applyFont="1" applyFill="1"/>
    <xf numFmtId="10" fontId="2" fillId="0" borderId="0" xfId="2" applyNumberFormat="1" applyFont="1"/>
    <xf numFmtId="10" fontId="2" fillId="6" borderId="0" xfId="2" applyNumberFormat="1" applyFont="1" applyFill="1"/>
    <xf numFmtId="10" fontId="0" fillId="6" borderId="1" xfId="2" applyNumberFormat="1" applyFont="1" applyFill="1" applyBorder="1"/>
    <xf numFmtId="0" fontId="3" fillId="0" borderId="17" xfId="0" applyFont="1" applyFill="1" applyBorder="1" applyAlignment="1">
      <alignment horizontal="center" vertical="center" wrapText="1"/>
    </xf>
    <xf numFmtId="2" fontId="0" fillId="0" borderId="0" xfId="2" applyNumberFormat="1" applyFont="1" applyFill="1"/>
    <xf numFmtId="0" fontId="2" fillId="0" borderId="1" xfId="0" applyFont="1" applyBorder="1" applyAlignment="1">
      <alignment horizontal="left"/>
    </xf>
    <xf numFmtId="2" fontId="0" fillId="0" borderId="1" xfId="2" applyNumberFormat="1" applyFont="1" applyFill="1" applyBorder="1"/>
    <xf numFmtId="168" fontId="0" fillId="0" borderId="0" xfId="2" applyNumberFormat="1" applyFont="1" applyBorder="1" applyAlignment="1">
      <alignment wrapText="1"/>
    </xf>
    <xf numFmtId="168" fontId="0" fillId="0" borderId="6" xfId="0" applyNumberFormat="1" applyBorder="1" applyAlignment="1">
      <alignment wrapText="1"/>
    </xf>
    <xf numFmtId="0" fontId="3" fillId="0" borderId="23" xfId="0" applyFont="1" applyBorder="1" applyAlignment="1">
      <alignment wrapText="1"/>
    </xf>
    <xf numFmtId="0" fontId="2" fillId="0" borderId="9" xfId="0" applyFont="1" applyBorder="1"/>
    <xf numFmtId="0" fontId="2" fillId="0" borderId="9" xfId="0" applyFont="1" applyFill="1" applyBorder="1"/>
    <xf numFmtId="2" fontId="0" fillId="0" borderId="12" xfId="0" applyNumberFormat="1" applyBorder="1"/>
    <xf numFmtId="2" fontId="0" fillId="0" borderId="14" xfId="0" applyNumberFormat="1" applyBorder="1"/>
    <xf numFmtId="2" fontId="0" fillId="0" borderId="1" xfId="0" applyNumberFormat="1" applyBorder="1"/>
    <xf numFmtId="0" fontId="2" fillId="0" borderId="11" xfId="0" applyFont="1" applyBorder="1"/>
    <xf numFmtId="0" fontId="3" fillId="0" borderId="17" xfId="0" applyFont="1" applyBorder="1" applyAlignment="1">
      <alignment vertical="center" wrapText="1"/>
    </xf>
    <xf numFmtId="0" fontId="3" fillId="0" borderId="17" xfId="0" applyFont="1" applyBorder="1" applyAlignment="1">
      <alignment horizontal="left" vertical="center" wrapText="1"/>
    </xf>
    <xf numFmtId="0" fontId="9" fillId="0" borderId="17" xfId="0" applyFont="1" applyBorder="1" applyAlignment="1">
      <alignment horizontal="left" vertical="center" wrapText="1"/>
    </xf>
    <xf numFmtId="0" fontId="5" fillId="0" borderId="0" xfId="0" applyFont="1"/>
    <xf numFmtId="169" fontId="0" fillId="0" borderId="0" xfId="1" applyNumberFormat="1" applyFont="1"/>
    <xf numFmtId="0" fontId="2" fillId="0" borderId="0" xfId="0" applyFont="1" applyAlignment="1">
      <alignment horizontal="center"/>
    </xf>
    <xf numFmtId="2" fontId="0" fillId="7" borderId="0" xfId="0" applyNumberFormat="1" applyFill="1"/>
    <xf numFmtId="166" fontId="2" fillId="0" borderId="12" xfId="0" applyNumberFormat="1" applyFont="1" applyBorder="1"/>
    <xf numFmtId="166" fontId="2" fillId="0" borderId="14" xfId="0" applyNumberFormat="1" applyFont="1" applyBorder="1"/>
    <xf numFmtId="166" fontId="2" fillId="0" borderId="10" xfId="0" applyNumberFormat="1" applyFont="1" applyBorder="1"/>
    <xf numFmtId="166" fontId="8" fillId="0" borderId="0" xfId="0" applyNumberFormat="1" applyFont="1" applyBorder="1" applyAlignment="1">
      <alignment horizontal="right"/>
    </xf>
    <xf numFmtId="166" fontId="0" fillId="0" borderId="0" xfId="0" applyNumberFormat="1" applyAlignment="1">
      <alignment horizontal="right"/>
    </xf>
    <xf numFmtId="0" fontId="2" fillId="0" borderId="0" xfId="0" applyFont="1" applyAlignment="1"/>
    <xf numFmtId="0" fontId="9" fillId="0" borderId="17" xfId="0" applyFont="1" applyBorder="1" applyAlignment="1">
      <alignment horizontal="center" vertical="center" wrapText="1"/>
    </xf>
    <xf numFmtId="0" fontId="3" fillId="0" borderId="17" xfId="0" applyFont="1" applyBorder="1" applyAlignment="1">
      <alignment horizontal="center" wrapText="1"/>
    </xf>
    <xf numFmtId="166" fontId="0" fillId="0" borderId="1" xfId="0" applyNumberFormat="1" applyBorder="1" applyAlignment="1">
      <alignment horizontal="right"/>
    </xf>
    <xf numFmtId="169" fontId="0" fillId="0" borderId="1" xfId="1" applyNumberFormat="1" applyFont="1" applyBorder="1"/>
    <xf numFmtId="0" fontId="2" fillId="0" borderId="0" xfId="0" applyFont="1" applyBorder="1" applyAlignment="1">
      <alignment horizontal="left"/>
    </xf>
    <xf numFmtId="168" fontId="0" fillId="0" borderId="0" xfId="2" applyNumberFormat="1" applyFont="1"/>
    <xf numFmtId="1" fontId="0" fillId="0" borderId="1" xfId="0" applyNumberFormat="1" applyBorder="1"/>
    <xf numFmtId="0" fontId="2" fillId="0" borderId="17" xfId="0" applyFont="1" applyBorder="1"/>
    <xf numFmtId="0" fontId="0" fillId="0" borderId="17" xfId="0" applyBorder="1"/>
    <xf numFmtId="167" fontId="3" fillId="0" borderId="17" xfId="0" applyNumberFormat="1" applyFont="1" applyBorder="1"/>
    <xf numFmtId="168" fontId="0" fillId="0" borderId="0" xfId="0" applyNumberFormat="1"/>
    <xf numFmtId="0" fontId="3" fillId="0" borderId="0" xfId="0" applyFont="1" applyAlignment="1"/>
    <xf numFmtId="2" fontId="0" fillId="0" borderId="12" xfId="0" applyNumberFormat="1" applyFill="1" applyBorder="1"/>
    <xf numFmtId="0" fontId="10" fillId="0" borderId="0" xfId="3" applyAlignment="1" applyProtection="1"/>
    <xf numFmtId="2" fontId="0" fillId="0" borderId="0" xfId="0" applyNumberFormat="1" applyFill="1"/>
    <xf numFmtId="167" fontId="0" fillId="0" borderId="0" xfId="0" applyNumberFormat="1" applyFill="1"/>
    <xf numFmtId="0" fontId="2" fillId="0" borderId="0" xfId="0" applyFont="1" applyBorder="1"/>
    <xf numFmtId="0" fontId="0" fillId="0" borderId="0" xfId="0" applyBorder="1" applyAlignment="1">
      <alignment horizontal="left"/>
    </xf>
    <xf numFmtId="0" fontId="0" fillId="0" borderId="25" xfId="0" applyBorder="1"/>
    <xf numFmtId="2" fontId="2" fillId="0" borderId="0" xfId="0" applyNumberFormat="1" applyFont="1" applyBorder="1"/>
    <xf numFmtId="166" fontId="2" fillId="0" borderId="0" xfId="0" applyNumberFormat="1" applyFont="1" applyBorder="1"/>
    <xf numFmtId="2" fontId="0" fillId="0" borderId="0" xfId="0" applyNumberFormat="1" applyBorder="1"/>
    <xf numFmtId="2" fontId="0" fillId="0" borderId="10" xfId="0" applyNumberFormat="1" applyBorder="1"/>
    <xf numFmtId="2" fontId="0" fillId="0" borderId="13" xfId="0" applyNumberFormat="1" applyBorder="1"/>
    <xf numFmtId="0" fontId="2" fillId="0" borderId="0" xfId="0" applyFont="1" applyFill="1" applyBorder="1" applyAlignment="1">
      <alignment horizontal="left"/>
    </xf>
    <xf numFmtId="0" fontId="2" fillId="0" borderId="9" xfId="0" applyFont="1" applyFill="1" applyBorder="1" applyAlignment="1">
      <alignment horizontal="left"/>
    </xf>
    <xf numFmtId="0" fontId="2" fillId="8" borderId="0" xfId="0" applyFont="1" applyFill="1" applyBorder="1"/>
    <xf numFmtId="0" fontId="2" fillId="8" borderId="6" xfId="0" applyFont="1" applyFill="1" applyBorder="1"/>
    <xf numFmtId="0" fontId="3" fillId="0" borderId="9" xfId="0" applyFont="1" applyBorder="1" applyAlignment="1">
      <alignment horizontal="center" vertical="center" wrapText="1"/>
    </xf>
    <xf numFmtId="2" fontId="0" fillId="10" borderId="29" xfId="0" applyNumberFormat="1" applyFill="1" applyBorder="1"/>
    <xf numFmtId="2" fontId="0" fillId="10" borderId="30" xfId="0" applyNumberFormat="1" applyFill="1" applyBorder="1"/>
    <xf numFmtId="2" fontId="0" fillId="10" borderId="31" xfId="0" applyNumberFormat="1" applyFill="1" applyBorder="1"/>
    <xf numFmtId="0" fontId="3" fillId="0" borderId="0" xfId="0" applyFont="1" applyBorder="1" applyAlignment="1">
      <alignment horizontal="center" vertical="center"/>
    </xf>
    <xf numFmtId="165" fontId="3" fillId="0" borderId="0" xfId="1" applyNumberFormat="1" applyFont="1" applyBorder="1"/>
    <xf numFmtId="0" fontId="2" fillId="0" borderId="0" xfId="0" applyFont="1" applyFill="1" applyBorder="1" applyAlignment="1">
      <alignment wrapText="1"/>
    </xf>
    <xf numFmtId="0" fontId="3" fillId="0" borderId="0" xfId="0" applyFont="1" applyFill="1" applyBorder="1"/>
    <xf numFmtId="9" fontId="0" fillId="0" borderId="0" xfId="2" applyFont="1" applyBorder="1"/>
    <xf numFmtId="9" fontId="0" fillId="0" borderId="16" xfId="2" applyFont="1" applyBorder="1"/>
    <xf numFmtId="9" fontId="0" fillId="0" borderId="7" xfId="2" applyFont="1" applyBorder="1"/>
    <xf numFmtId="165" fontId="2" fillId="0" borderId="11" xfId="1" applyNumberFormat="1" applyFont="1" applyFill="1" applyBorder="1"/>
    <xf numFmtId="165" fontId="2" fillId="0" borderId="32" xfId="1" applyNumberFormat="1" applyFont="1" applyFill="1" applyBorder="1"/>
    <xf numFmtId="0" fontId="3" fillId="6" borderId="22" xfId="0" applyFont="1" applyFill="1" applyBorder="1"/>
    <xf numFmtId="0" fontId="2" fillId="6" borderId="24" xfId="0" applyFont="1" applyFill="1" applyBorder="1" applyAlignment="1">
      <alignment horizontal="center"/>
    </xf>
    <xf numFmtId="0" fontId="2" fillId="6" borderId="15" xfId="0" applyFont="1" applyFill="1" applyBorder="1"/>
    <xf numFmtId="0" fontId="2" fillId="6" borderId="5" xfId="0" applyFont="1" applyFill="1" applyBorder="1"/>
    <xf numFmtId="0" fontId="2" fillId="6" borderId="34" xfId="0" applyFont="1" applyFill="1" applyBorder="1" applyAlignment="1">
      <alignment horizontal="center"/>
    </xf>
    <xf numFmtId="0" fontId="2" fillId="9" borderId="5" xfId="0" applyFont="1" applyFill="1" applyBorder="1"/>
    <xf numFmtId="165" fontId="3" fillId="0" borderId="32" xfId="1" applyNumberFormat="1" applyFont="1" applyBorder="1"/>
    <xf numFmtId="9" fontId="0" fillId="0" borderId="35" xfId="2" applyFont="1" applyBorder="1"/>
    <xf numFmtId="0" fontId="3" fillId="9" borderId="22" xfId="0" applyFont="1" applyFill="1" applyBorder="1"/>
    <xf numFmtId="0" fontId="2" fillId="9" borderId="33" xfId="0" applyFont="1" applyFill="1" applyBorder="1" applyAlignment="1">
      <alignment horizontal="center"/>
    </xf>
    <xf numFmtId="0" fontId="2" fillId="9" borderId="26" xfId="0" applyFont="1" applyFill="1" applyBorder="1" applyAlignment="1">
      <alignment horizontal="center"/>
    </xf>
    <xf numFmtId="165" fontId="2" fillId="0" borderId="0" xfId="1" applyNumberFormat="1" applyFont="1" applyFill="1" applyBorder="1"/>
    <xf numFmtId="0" fontId="2" fillId="8" borderId="15" xfId="0" applyFont="1" applyFill="1" applyBorder="1"/>
    <xf numFmtId="0" fontId="2" fillId="8" borderId="5" xfId="0" applyFont="1" applyFill="1" applyBorder="1"/>
    <xf numFmtId="0" fontId="3" fillId="8" borderId="22" xfId="0" applyFont="1" applyFill="1" applyBorder="1"/>
    <xf numFmtId="0" fontId="2" fillId="8" borderId="23" xfId="0" applyFont="1" applyFill="1" applyBorder="1"/>
    <xf numFmtId="0" fontId="2" fillId="8" borderId="24" xfId="0" applyFont="1" applyFill="1" applyBorder="1"/>
    <xf numFmtId="170" fontId="8" fillId="0" borderId="0" xfId="0" applyNumberFormat="1" applyFont="1" applyBorder="1" applyAlignment="1">
      <alignment horizontal="right"/>
    </xf>
    <xf numFmtId="170" fontId="8" fillId="0" borderId="1" xfId="0" applyNumberFormat="1" applyFont="1" applyBorder="1" applyAlignment="1">
      <alignment horizontal="right"/>
    </xf>
    <xf numFmtId="169" fontId="0" fillId="0" borderId="27" xfId="1" applyNumberFormat="1" applyFont="1" applyBorder="1"/>
    <xf numFmtId="165" fontId="0" fillId="0" borderId="27" xfId="1" applyNumberFormat="1" applyFont="1" applyBorder="1"/>
    <xf numFmtId="169" fontId="0" fillId="0" borderId="28" xfId="1" applyNumberFormat="1" applyFont="1" applyBorder="1"/>
    <xf numFmtId="165" fontId="0" fillId="0" borderId="0" xfId="1" applyNumberFormat="1" applyFont="1" applyBorder="1"/>
    <xf numFmtId="0" fontId="0" fillId="0" borderId="12" xfId="0" applyBorder="1"/>
    <xf numFmtId="0" fontId="3" fillId="0" borderId="0" xfId="0" applyFont="1" applyBorder="1" applyAlignment="1">
      <alignment horizontal="center" vertical="center" wrapText="1"/>
    </xf>
    <xf numFmtId="2" fontId="0" fillId="10" borderId="36" xfId="0" applyNumberFormat="1" applyFill="1" applyBorder="1"/>
    <xf numFmtId="2" fontId="2" fillId="10" borderId="29" xfId="0" applyNumberFormat="1" applyFont="1" applyFill="1" applyBorder="1"/>
    <xf numFmtId="0" fontId="8" fillId="0" borderId="0" xfId="0" quotePrefix="1" applyNumberFormat="1" applyFont="1" applyBorder="1"/>
    <xf numFmtId="0" fontId="8" fillId="0" borderId="0" xfId="0" applyFont="1" applyBorder="1"/>
    <xf numFmtId="0" fontId="2" fillId="11" borderId="1" xfId="0" applyFont="1" applyFill="1" applyBorder="1"/>
    <xf numFmtId="0" fontId="0" fillId="11" borderId="1" xfId="0" applyFill="1" applyBorder="1"/>
    <xf numFmtId="0" fontId="2" fillId="11" borderId="0" xfId="0" applyFont="1" applyFill="1" applyBorder="1"/>
    <xf numFmtId="0" fontId="2" fillId="11" borderId="12" xfId="0" applyFont="1" applyFill="1" applyBorder="1"/>
    <xf numFmtId="2" fontId="2" fillId="11" borderId="1" xfId="0" applyNumberFormat="1" applyFont="1" applyFill="1" applyBorder="1"/>
    <xf numFmtId="0" fontId="8" fillId="0" borderId="0" xfId="0" applyNumberFormat="1" applyFont="1" applyBorder="1"/>
    <xf numFmtId="0" fontId="8" fillId="11" borderId="1" xfId="0" applyNumberFormat="1" applyFont="1" applyFill="1" applyBorder="1"/>
    <xf numFmtId="0" fontId="2" fillId="0" borderId="37" xfId="0" applyFont="1" applyBorder="1" applyAlignment="1">
      <alignment horizontal="left" vertical="center"/>
    </xf>
    <xf numFmtId="0" fontId="8" fillId="0" borderId="0" xfId="0" applyNumberFormat="1" applyFont="1" applyFill="1" applyBorder="1"/>
    <xf numFmtId="0" fontId="8" fillId="0" borderId="0" xfId="0" applyFont="1" applyFill="1" applyBorder="1"/>
    <xf numFmtId="0" fontId="2" fillId="11" borderId="13" xfId="0" applyFont="1" applyFill="1" applyBorder="1"/>
    <xf numFmtId="0" fontId="0" fillId="11" borderId="14" xfId="0" applyFill="1" applyBorder="1"/>
    <xf numFmtId="0" fontId="2" fillId="0" borderId="11" xfId="0" applyFont="1" applyFill="1" applyBorder="1"/>
    <xf numFmtId="0" fontId="2" fillId="11" borderId="14" xfId="0" applyFont="1" applyFill="1" applyBorder="1"/>
    <xf numFmtId="0" fontId="2" fillId="0" borderId="13" xfId="0" applyFont="1" applyBorder="1"/>
    <xf numFmtId="0" fontId="2" fillId="11" borderId="11" xfId="0" applyFont="1" applyFill="1" applyBorder="1"/>
    <xf numFmtId="2" fontId="2" fillId="11" borderId="14" xfId="0" applyNumberFormat="1" applyFont="1" applyFill="1" applyBorder="1"/>
    <xf numFmtId="166" fontId="2" fillId="11" borderId="0" xfId="0" applyNumberFormat="1" applyFont="1" applyFill="1" applyBorder="1"/>
    <xf numFmtId="166" fontId="2" fillId="11" borderId="12" xfId="0" applyNumberFormat="1" applyFont="1" applyFill="1" applyBorder="1"/>
    <xf numFmtId="2" fontId="0" fillId="11" borderId="0" xfId="0" applyNumberFormat="1" applyFill="1" applyBorder="1"/>
    <xf numFmtId="2" fontId="0" fillId="11" borderId="12" xfId="0" applyNumberFormat="1" applyFill="1" applyBorder="1"/>
    <xf numFmtId="2" fontId="0" fillId="0" borderId="11" xfId="0" applyNumberFormat="1" applyBorder="1"/>
    <xf numFmtId="0" fontId="8" fillId="11" borderId="1" xfId="0" applyFont="1" applyFill="1" applyBorder="1" applyAlignment="1">
      <alignment horizontal="left"/>
    </xf>
    <xf numFmtId="166" fontId="2" fillId="11" borderId="1" xfId="0" applyNumberFormat="1" applyFont="1" applyFill="1" applyBorder="1"/>
    <xf numFmtId="2" fontId="0" fillId="11" borderId="1" xfId="0" applyNumberFormat="1" applyFill="1" applyBorder="1"/>
    <xf numFmtId="0" fontId="0" fillId="11" borderId="0" xfId="0" applyFill="1" applyBorder="1" applyAlignment="1">
      <alignment horizontal="left"/>
    </xf>
    <xf numFmtId="0" fontId="0" fillId="11" borderId="1" xfId="0" applyFill="1" applyBorder="1" applyAlignment="1">
      <alignment horizontal="left"/>
    </xf>
    <xf numFmtId="166" fontId="2" fillId="11" borderId="1" xfId="4" applyNumberFormat="1" applyFont="1" applyFill="1" applyBorder="1"/>
    <xf numFmtId="2" fontId="0" fillId="11" borderId="14" xfId="0" applyNumberFormat="1" applyFill="1" applyBorder="1"/>
    <xf numFmtId="166" fontId="2" fillId="0" borderId="0" xfId="0" applyNumberFormat="1" applyFont="1" applyFill="1" applyBorder="1"/>
    <xf numFmtId="166" fontId="2" fillId="0" borderId="12" xfId="0" applyNumberFormat="1" applyFont="1" applyFill="1" applyBorder="1"/>
    <xf numFmtId="0" fontId="0" fillId="0" borderId="0" xfId="0" applyFill="1" applyBorder="1" applyAlignment="1">
      <alignment horizontal="left"/>
    </xf>
    <xf numFmtId="166" fontId="2" fillId="0" borderId="0" xfId="4" applyNumberFormat="1" applyFont="1" applyFill="1" applyBorder="1"/>
    <xf numFmtId="171" fontId="0" fillId="0" borderId="0" xfId="0" applyNumberFormat="1"/>
    <xf numFmtId="2" fontId="0" fillId="0" borderId="0" xfId="0" applyNumberFormat="1" applyFill="1" applyBorder="1"/>
    <xf numFmtId="2" fontId="0" fillId="0" borderId="11" xfId="0" applyNumberFormat="1" applyFill="1" applyBorder="1"/>
    <xf numFmtId="2" fontId="2" fillId="0" borderId="0" xfId="0" applyNumberFormat="1" applyFont="1" applyFill="1" applyBorder="1"/>
    <xf numFmtId="0" fontId="0" fillId="0" borderId="0" xfId="0" applyAlignment="1">
      <alignment horizontal="center"/>
    </xf>
    <xf numFmtId="170" fontId="0" fillId="0" borderId="0" xfId="0" applyNumberFormat="1" applyAlignment="1">
      <alignment horizontal="center"/>
    </xf>
    <xf numFmtId="0" fontId="15" fillId="0" borderId="0" xfId="0" applyFont="1" applyBorder="1"/>
    <xf numFmtId="0" fontId="15" fillId="0" borderId="0" xfId="0" applyFont="1" applyBorder="1" applyAlignment="1">
      <alignment horizontal="center"/>
    </xf>
    <xf numFmtId="0" fontId="16" fillId="0" borderId="0" xfId="0" applyFont="1" applyBorder="1" applyAlignment="1">
      <alignment horizontal="center"/>
    </xf>
    <xf numFmtId="0" fontId="15" fillId="0" borderId="0" xfId="0" applyFont="1" applyFill="1" applyBorder="1" applyAlignment="1">
      <alignment horizontal="center"/>
    </xf>
    <xf numFmtId="0" fontId="0" fillId="0" borderId="0" xfId="0" applyFill="1" applyBorder="1"/>
    <xf numFmtId="0" fontId="15" fillId="0" borderId="0" xfId="0" applyFont="1" applyFill="1" applyBorder="1"/>
    <xf numFmtId="0" fontId="0" fillId="0" borderId="0" xfId="0" applyBorder="1" applyAlignment="1">
      <alignment horizontal="center"/>
    </xf>
    <xf numFmtId="0" fontId="3" fillId="0" borderId="0" xfId="0" applyFont="1" applyBorder="1"/>
    <xf numFmtId="2" fontId="0" fillId="0" borderId="0" xfId="0" applyNumberFormat="1" applyBorder="1" applyAlignment="1">
      <alignment horizontal="center"/>
    </xf>
    <xf numFmtId="2" fontId="0" fillId="14" borderId="0" xfId="0" applyNumberFormat="1" applyFill="1" applyBorder="1" applyAlignment="1">
      <alignment horizontal="center"/>
    </xf>
    <xf numFmtId="0" fontId="0" fillId="11" borderId="0" xfId="0" applyFill="1" applyBorder="1" applyAlignment="1">
      <alignment horizontal="center"/>
    </xf>
    <xf numFmtId="0" fontId="0" fillId="0" borderId="0" xfId="0" applyFill="1" applyBorder="1" applyAlignment="1">
      <alignment horizontal="center"/>
    </xf>
    <xf numFmtId="2" fontId="0" fillId="11" borderId="0" xfId="0" applyNumberFormat="1" applyFill="1" applyBorder="1" applyAlignment="1">
      <alignment horizontal="center"/>
    </xf>
    <xf numFmtId="2" fontId="15" fillId="0" borderId="0" xfId="0" applyNumberFormat="1" applyFont="1" applyFill="1" applyBorder="1" applyAlignment="1">
      <alignment horizontal="center"/>
    </xf>
    <xf numFmtId="3" fontId="15" fillId="0" borderId="0" xfId="0" applyNumberFormat="1" applyFont="1" applyFill="1" applyBorder="1" applyAlignment="1">
      <alignment horizontal="center"/>
    </xf>
    <xf numFmtId="3" fontId="0" fillId="0" borderId="0" xfId="0" applyNumberFormat="1" applyBorder="1" applyAlignment="1">
      <alignment horizontal="center"/>
    </xf>
    <xf numFmtId="0" fontId="2" fillId="0" borderId="0" xfId="0" applyFont="1" applyBorder="1" applyAlignment="1">
      <alignment horizontal="center"/>
    </xf>
    <xf numFmtId="3" fontId="0" fillId="15" borderId="0" xfId="0" applyNumberFormat="1" applyFill="1" applyBorder="1" applyAlignment="1">
      <alignment horizontal="center"/>
    </xf>
    <xf numFmtId="0" fontId="2" fillId="15" borderId="0" xfId="0" applyFont="1" applyFill="1" applyBorder="1"/>
    <xf numFmtId="0" fontId="5" fillId="0" borderId="0" xfId="0" applyFont="1" applyBorder="1"/>
    <xf numFmtId="3" fontId="0" fillId="16" borderId="0" xfId="0" applyNumberFormat="1" applyFill="1" applyBorder="1" applyAlignment="1">
      <alignment horizontal="center"/>
    </xf>
    <xf numFmtId="0" fontId="2" fillId="16" borderId="0" xfId="0" applyFont="1" applyFill="1" applyBorder="1"/>
    <xf numFmtId="0" fontId="0" fillId="16" borderId="0" xfId="0" applyFill="1" applyBorder="1"/>
    <xf numFmtId="3" fontId="0" fillId="0" borderId="0" xfId="0" applyNumberFormat="1" applyFill="1" applyBorder="1" applyAlignment="1">
      <alignment horizontal="center"/>
    </xf>
    <xf numFmtId="0" fontId="0" fillId="16" borderId="0" xfId="0" applyFont="1" applyFill="1" applyBorder="1"/>
    <xf numFmtId="0" fontId="2" fillId="0" borderId="0" xfId="0" applyFont="1" applyFill="1" applyBorder="1" applyAlignment="1">
      <alignment horizontal="center"/>
    </xf>
    <xf numFmtId="0" fontId="20" fillId="0" borderId="0" xfId="0" applyFont="1"/>
    <xf numFmtId="0" fontId="0" fillId="0" borderId="0" xfId="0" applyAlignment="1">
      <alignment wrapText="1"/>
    </xf>
    <xf numFmtId="0" fontId="18" fillId="0" borderId="18" xfId="0" applyFont="1" applyFill="1" applyBorder="1"/>
    <xf numFmtId="172" fontId="3" fillId="0" borderId="17" xfId="0" applyNumberFormat="1" applyFont="1" applyBorder="1" applyAlignment="1">
      <alignment horizontal="center" vertical="center" wrapText="1"/>
    </xf>
    <xf numFmtId="172" fontId="0" fillId="0" borderId="0" xfId="0" applyNumberFormat="1" applyAlignment="1">
      <alignment horizontal="center"/>
    </xf>
    <xf numFmtId="172" fontId="0" fillId="0" borderId="0" xfId="0" applyNumberFormat="1" applyFill="1" applyBorder="1" applyAlignment="1">
      <alignment horizontal="center"/>
    </xf>
    <xf numFmtId="166" fontId="0" fillId="0" borderId="0" xfId="0" applyNumberFormat="1" applyAlignment="1">
      <alignment horizontal="center"/>
    </xf>
    <xf numFmtId="166" fontId="0" fillId="0" borderId="1" xfId="0" applyNumberFormat="1" applyBorder="1" applyAlignment="1">
      <alignment horizontal="center"/>
    </xf>
    <xf numFmtId="166" fontId="0" fillId="0" borderId="0" xfId="0" applyNumberFormat="1" applyFill="1" applyBorder="1" applyAlignment="1">
      <alignment horizontal="center"/>
    </xf>
    <xf numFmtId="0" fontId="0" fillId="5" borderId="0" xfId="0" applyFill="1" applyAlignment="1">
      <alignment horizontal="center"/>
    </xf>
    <xf numFmtId="168" fontId="0" fillId="5" borderId="12" xfId="2" applyNumberFormat="1" applyFont="1" applyFill="1" applyBorder="1" applyAlignment="1">
      <alignment horizontal="center"/>
    </xf>
    <xf numFmtId="0" fontId="0" fillId="5" borderId="1" xfId="0" applyFill="1" applyBorder="1" applyAlignment="1">
      <alignment horizontal="center"/>
    </xf>
    <xf numFmtId="168" fontId="0" fillId="5" borderId="14" xfId="2" applyNumberFormat="1" applyFont="1" applyFill="1" applyBorder="1" applyAlignment="1">
      <alignment horizontal="center"/>
    </xf>
    <xf numFmtId="0" fontId="0" fillId="5" borderId="0" xfId="0" applyFill="1" applyBorder="1" applyAlignment="1">
      <alignment horizontal="center"/>
    </xf>
    <xf numFmtId="0" fontId="0" fillId="5" borderId="9" xfId="0" applyFill="1" applyBorder="1" applyAlignment="1">
      <alignment horizontal="center"/>
    </xf>
    <xf numFmtId="168" fontId="0" fillId="5" borderId="10" xfId="2" applyNumberFormat="1" applyFont="1" applyFill="1" applyBorder="1" applyAlignment="1">
      <alignment horizontal="center"/>
    </xf>
    <xf numFmtId="0" fontId="0" fillId="5" borderId="11" xfId="0" applyFill="1" applyBorder="1" applyAlignment="1">
      <alignment horizontal="center"/>
    </xf>
    <xf numFmtId="0" fontId="2" fillId="0" borderId="0" xfId="0" applyFont="1" applyFill="1" applyAlignment="1">
      <alignment horizontal="center"/>
    </xf>
    <xf numFmtId="2" fontId="0" fillId="0" borderId="0" xfId="0" applyNumberFormat="1" applyAlignment="1">
      <alignment horizontal="center"/>
    </xf>
    <xf numFmtId="2" fontId="0" fillId="0" borderId="1" xfId="0" applyNumberFormat="1" applyBorder="1" applyAlignment="1">
      <alignment horizontal="center"/>
    </xf>
    <xf numFmtId="2" fontId="2" fillId="0" borderId="0" xfId="0" applyNumberFormat="1" applyFont="1" applyBorder="1" applyAlignment="1">
      <alignment horizontal="center"/>
    </xf>
    <xf numFmtId="167" fontId="6" fillId="0" borderId="0" xfId="0" applyNumberFormat="1" applyFont="1" applyAlignment="1">
      <alignment horizontal="center"/>
    </xf>
    <xf numFmtId="10" fontId="6" fillId="0" borderId="0" xfId="2" applyNumberFormat="1" applyFont="1" applyAlignment="1">
      <alignment horizontal="center"/>
    </xf>
    <xf numFmtId="167" fontId="6" fillId="0" borderId="1" xfId="0" applyNumberFormat="1" applyFont="1" applyBorder="1" applyAlignment="1">
      <alignment horizontal="center"/>
    </xf>
    <xf numFmtId="167" fontId="0" fillId="0" borderId="0" xfId="0" applyNumberFormat="1" applyBorder="1" applyAlignment="1">
      <alignment horizontal="center"/>
    </xf>
    <xf numFmtId="10" fontId="0" fillId="0" borderId="0" xfId="2" applyNumberFormat="1" applyFont="1" applyBorder="1" applyAlignment="1">
      <alignment horizontal="center"/>
    </xf>
    <xf numFmtId="10" fontId="0" fillId="0" borderId="0" xfId="2" applyNumberFormat="1" applyFont="1" applyAlignment="1">
      <alignment horizontal="center"/>
    </xf>
    <xf numFmtId="167" fontId="0" fillId="0" borderId="1" xfId="0" applyNumberFormat="1" applyBorder="1" applyAlignment="1">
      <alignment horizontal="center"/>
    </xf>
    <xf numFmtId="167" fontId="0" fillId="0" borderId="0" xfId="0" applyNumberFormat="1" applyAlignment="1">
      <alignment horizontal="center"/>
    </xf>
    <xf numFmtId="10" fontId="0" fillId="0" borderId="14" xfId="2" applyNumberFormat="1" applyFont="1" applyBorder="1" applyAlignment="1">
      <alignment horizontal="center"/>
    </xf>
    <xf numFmtId="2" fontId="0" fillId="3" borderId="18" xfId="0" applyNumberFormat="1" applyFill="1" applyBorder="1" applyAlignment="1">
      <alignment horizontal="center"/>
    </xf>
    <xf numFmtId="0" fontId="0" fillId="0" borderId="0" xfId="0" applyFill="1" applyAlignment="1">
      <alignment wrapText="1"/>
    </xf>
    <xf numFmtId="0" fontId="20" fillId="0" borderId="0" xfId="0" applyFont="1" applyAlignment="1">
      <alignment vertical="center"/>
    </xf>
    <xf numFmtId="0" fontId="19" fillId="17" borderId="18" xfId="0" applyFont="1" applyFill="1" applyBorder="1" applyAlignment="1">
      <alignment vertical="center" wrapText="1"/>
    </xf>
    <xf numFmtId="0" fontId="19" fillId="0" borderId="18" xfId="0" applyFont="1" applyFill="1" applyBorder="1" applyAlignment="1">
      <alignment vertical="center" wrapText="1"/>
    </xf>
    <xf numFmtId="2" fontId="0" fillId="19" borderId="18" xfId="0" applyNumberFormat="1" applyFill="1" applyBorder="1" applyAlignment="1">
      <alignment horizontal="center"/>
    </xf>
    <xf numFmtId="2" fontId="0" fillId="18" borderId="18" xfId="0" applyNumberFormat="1" applyFill="1" applyBorder="1" applyAlignment="1">
      <alignment horizontal="center"/>
    </xf>
    <xf numFmtId="2" fontId="0" fillId="11" borderId="18" xfId="0" applyNumberFormat="1" applyFill="1" applyBorder="1" applyAlignment="1">
      <alignment horizontal="center"/>
    </xf>
    <xf numFmtId="2" fontId="0" fillId="20" borderId="18" xfId="0" applyNumberFormat="1" applyFill="1" applyBorder="1" applyAlignment="1">
      <alignment horizontal="center"/>
    </xf>
    <xf numFmtId="2" fontId="20" fillId="0" borderId="0" xfId="0" applyNumberFormat="1" applyFont="1" applyAlignment="1">
      <alignment horizontal="center" vertical="center"/>
    </xf>
    <xf numFmtId="2" fontId="20" fillId="0" borderId="0" xfId="0" applyNumberFormat="1" applyFont="1" applyAlignment="1">
      <alignment vertical="center"/>
    </xf>
    <xf numFmtId="2" fontId="3" fillId="0" borderId="18" xfId="0" applyNumberFormat="1" applyFont="1" applyBorder="1" applyAlignment="1">
      <alignment horizontal="center" vertical="center" wrapText="1"/>
    </xf>
    <xf numFmtId="2" fontId="3" fillId="0" borderId="18" xfId="0" applyNumberFormat="1" applyFont="1" applyFill="1" applyBorder="1" applyAlignment="1">
      <alignment horizontal="center" vertical="center" wrapText="1"/>
    </xf>
    <xf numFmtId="2" fontId="9" fillId="0" borderId="18" xfId="0" applyNumberFormat="1" applyFont="1" applyBorder="1" applyAlignment="1">
      <alignment horizontal="center" vertical="center" wrapText="1"/>
    </xf>
    <xf numFmtId="2" fontId="2" fillId="18" borderId="18" xfId="0" applyNumberFormat="1" applyFont="1" applyFill="1" applyBorder="1" applyAlignment="1">
      <alignment horizontal="center"/>
    </xf>
    <xf numFmtId="2" fontId="2" fillId="11" borderId="18" xfId="0" applyNumberFormat="1" applyFont="1" applyFill="1" applyBorder="1" applyAlignment="1">
      <alignment horizontal="center"/>
    </xf>
    <xf numFmtId="2" fontId="2" fillId="20" borderId="18" xfId="0" applyNumberFormat="1" applyFont="1" applyFill="1" applyBorder="1" applyAlignment="1">
      <alignment horizontal="center"/>
    </xf>
    <xf numFmtId="2" fontId="0" fillId="0" borderId="0" xfId="0" applyNumberFormat="1" applyFill="1" applyAlignment="1">
      <alignment horizontal="center"/>
    </xf>
    <xf numFmtId="0" fontId="3" fillId="0" borderId="17" xfId="0" applyFont="1" applyBorder="1" applyAlignment="1">
      <alignment horizontal="center" vertical="center"/>
    </xf>
    <xf numFmtId="0" fontId="8" fillId="0" borderId="0" xfId="0" applyFont="1" applyBorder="1" applyAlignment="1">
      <alignment horizontal="center"/>
    </xf>
    <xf numFmtId="0" fontId="8" fillId="0" borderId="1" xfId="0" applyFont="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3" fontId="0" fillId="21" borderId="0" xfId="0" applyNumberFormat="1" applyFill="1" applyBorder="1" applyAlignment="1">
      <alignment horizontal="center"/>
    </xf>
    <xf numFmtId="0" fontId="2" fillId="21" borderId="0" xfId="0" applyFont="1" applyFill="1" applyBorder="1"/>
    <xf numFmtId="170" fontId="2" fillId="0" borderId="0" xfId="0" applyNumberFormat="1" applyFont="1" applyFill="1" applyAlignment="1">
      <alignment horizontal="center"/>
    </xf>
    <xf numFmtId="166" fontId="0" fillId="0" borderId="0" xfId="0" applyNumberFormat="1" applyFill="1" applyAlignment="1">
      <alignment horizontal="right"/>
    </xf>
    <xf numFmtId="169" fontId="0" fillId="0" borderId="0" xfId="1" applyNumberFormat="1" applyFont="1" applyFill="1"/>
    <xf numFmtId="172" fontId="0" fillId="0" borderId="0" xfId="0" applyNumberFormat="1" applyFill="1" applyAlignment="1">
      <alignment horizontal="center"/>
    </xf>
    <xf numFmtId="0" fontId="2" fillId="22" borderId="0" xfId="0" applyFont="1" applyFill="1" applyBorder="1"/>
    <xf numFmtId="0" fontId="2" fillId="0" borderId="0" xfId="0" applyFont="1" applyAlignment="1">
      <alignment horizontal="left" vertical="center"/>
    </xf>
    <xf numFmtId="0" fontId="0" fillId="0" borderId="0" xfId="0" applyFill="1" applyAlignment="1">
      <alignment horizontal="left"/>
    </xf>
    <xf numFmtId="0" fontId="3" fillId="0" borderId="17" xfId="0" applyFont="1" applyBorder="1" applyAlignment="1">
      <alignment wrapText="1"/>
    </xf>
    <xf numFmtId="0" fontId="21" fillId="0" borderId="0" xfId="0" applyFont="1"/>
    <xf numFmtId="3" fontId="0" fillId="22" borderId="0" xfId="0" applyNumberFormat="1" applyFill="1" applyBorder="1" applyAlignment="1">
      <alignment horizontal="center"/>
    </xf>
    <xf numFmtId="3" fontId="8" fillId="22" borderId="0" xfId="0" applyNumberFormat="1" applyFont="1" applyFill="1" applyBorder="1" applyAlignment="1">
      <alignment horizontal="center"/>
    </xf>
    <xf numFmtId="0" fontId="8" fillId="22" borderId="0" xfId="0" applyFont="1" applyFill="1" applyBorder="1"/>
    <xf numFmtId="0" fontId="2" fillId="0" borderId="0" xfId="0" applyFont="1" applyFill="1" applyAlignment="1">
      <alignment horizontal="left"/>
    </xf>
    <xf numFmtId="2" fontId="2" fillId="0" borderId="12" xfId="0" applyNumberFormat="1" applyFont="1" applyFill="1" applyBorder="1"/>
    <xf numFmtId="0" fontId="0" fillId="0" borderId="0" xfId="0" applyFill="1" applyAlignment="1">
      <alignment horizontal="center"/>
    </xf>
    <xf numFmtId="170" fontId="0" fillId="0" borderId="0" xfId="0" applyNumberFormat="1" applyFill="1" applyAlignment="1">
      <alignment horizontal="center"/>
    </xf>
    <xf numFmtId="170" fontId="8" fillId="0" borderId="0" xfId="0" applyNumberFormat="1" applyFont="1" applyFill="1" applyBorder="1" applyAlignment="1">
      <alignment horizontal="right"/>
    </xf>
    <xf numFmtId="166" fontId="0" fillId="0" borderId="0" xfId="0" applyNumberFormat="1" applyFill="1" applyAlignment="1">
      <alignment horizontal="center"/>
    </xf>
    <xf numFmtId="166" fontId="2" fillId="0" borderId="0" xfId="0" applyNumberFormat="1" applyFont="1" applyFill="1" applyAlignment="1">
      <alignment horizontal="left"/>
    </xf>
    <xf numFmtId="166" fontId="0" fillId="0" borderId="1" xfId="0" applyNumberFormat="1" applyFill="1" applyBorder="1" applyAlignment="1">
      <alignment horizontal="center"/>
    </xf>
    <xf numFmtId="167" fontId="2" fillId="0" borderId="0" xfId="0" applyNumberFormat="1" applyFont="1" applyFill="1" applyAlignment="1">
      <alignment horizontal="center"/>
    </xf>
    <xf numFmtId="172" fontId="2" fillId="0" borderId="0" xfId="0" applyNumberFormat="1" applyFont="1" applyAlignment="1">
      <alignment horizontal="center"/>
    </xf>
    <xf numFmtId="0" fontId="2" fillId="0" borderId="0" xfId="0" quotePrefix="1" applyFont="1"/>
    <xf numFmtId="2" fontId="2" fillId="3" borderId="18" xfId="0" applyNumberFormat="1" applyFont="1" applyFill="1" applyBorder="1" applyAlignment="1">
      <alignment horizontal="center"/>
    </xf>
    <xf numFmtId="2" fontId="2" fillId="19" borderId="18" xfId="0" applyNumberFormat="1" applyFont="1" applyFill="1" applyBorder="1" applyAlignment="1">
      <alignment horizontal="center"/>
    </xf>
    <xf numFmtId="172" fontId="2" fillId="0" borderId="0" xfId="0" applyNumberFormat="1" applyFont="1" applyFill="1" applyAlignment="1">
      <alignment horizontal="center"/>
    </xf>
    <xf numFmtId="166" fontId="0" fillId="0" borderId="0" xfId="0" applyNumberFormat="1" applyBorder="1" applyAlignment="1">
      <alignment horizontal="center"/>
    </xf>
    <xf numFmtId="0" fontId="2" fillId="0" borderId="8" xfId="0" applyFont="1" applyBorder="1"/>
    <xf numFmtId="0" fontId="2" fillId="0" borderId="1" xfId="0" applyFont="1" applyFill="1" applyBorder="1" applyAlignment="1">
      <alignment horizontal="left"/>
    </xf>
    <xf numFmtId="172" fontId="0" fillId="0" borderId="1" xfId="0" applyNumberFormat="1" applyFill="1" applyBorder="1" applyAlignment="1">
      <alignment horizontal="center"/>
    </xf>
    <xf numFmtId="2" fontId="2" fillId="12" borderId="18" xfId="0" applyNumberFormat="1" applyFont="1" applyFill="1" applyBorder="1" applyAlignment="1">
      <alignment horizontal="center"/>
    </xf>
    <xf numFmtId="164" fontId="0" fillId="23" borderId="0" xfId="1" applyNumberFormat="1" applyFont="1" applyFill="1" applyBorder="1" applyAlignment="1">
      <alignment horizontal="center"/>
    </xf>
    <xf numFmtId="2" fontId="2" fillId="0" borderId="0" xfId="0" applyNumberFormat="1" applyFont="1" applyFill="1" applyBorder="1" applyAlignment="1">
      <alignment horizontal="left"/>
    </xf>
    <xf numFmtId="2" fontId="2" fillId="0" borderId="0" xfId="0" applyNumberFormat="1" applyFont="1" applyFill="1" applyAlignment="1">
      <alignment horizontal="center"/>
    </xf>
    <xf numFmtId="2" fontId="0" fillId="0" borderId="0" xfId="0" applyNumberFormat="1" applyFill="1" applyBorder="1" applyAlignment="1">
      <alignment horizontal="left"/>
    </xf>
    <xf numFmtId="164" fontId="0" fillId="0" borderId="0" xfId="1" applyNumberFormat="1" applyFont="1" applyBorder="1" applyAlignment="1">
      <alignment horizontal="center"/>
    </xf>
    <xf numFmtId="0" fontId="0" fillId="0" borderId="0" xfId="0"/>
    <xf numFmtId="0" fontId="2" fillId="0" borderId="0" xfId="0" applyFont="1" applyFill="1" applyBorder="1"/>
    <xf numFmtId="0" fontId="0" fillId="0" borderId="0" xfId="0" applyFill="1"/>
    <xf numFmtId="0" fontId="2" fillId="0" borderId="0" xfId="0" applyFont="1" applyFill="1"/>
    <xf numFmtId="0" fontId="0" fillId="0" borderId="0" xfId="0" applyAlignment="1">
      <alignment horizontal="left"/>
    </xf>
    <xf numFmtId="0" fontId="0" fillId="0" borderId="0" xfId="0" applyBorder="1"/>
    <xf numFmtId="0" fontId="2" fillId="0" borderId="0" xfId="0" applyFont="1" applyAlignment="1">
      <alignment horizontal="left"/>
    </xf>
    <xf numFmtId="0" fontId="2" fillId="0" borderId="0" xfId="0" applyFont="1" applyBorder="1"/>
    <xf numFmtId="0" fontId="0" fillId="0" borderId="0" xfId="0" applyAlignment="1">
      <alignment horizontal="center"/>
    </xf>
    <xf numFmtId="2" fontId="0" fillId="0" borderId="0" xfId="0" applyNumberFormat="1" applyFill="1" applyBorder="1" applyAlignment="1">
      <alignment horizontal="center"/>
    </xf>
    <xf numFmtId="172" fontId="3" fillId="0" borderId="17" xfId="0" applyNumberFormat="1" applyFont="1" applyBorder="1" applyAlignment="1">
      <alignment horizontal="center" vertical="center" wrapText="1"/>
    </xf>
    <xf numFmtId="172" fontId="0" fillId="0" borderId="0" xfId="0" applyNumberFormat="1" applyAlignment="1">
      <alignment horizontal="center"/>
    </xf>
    <xf numFmtId="172" fontId="0" fillId="0" borderId="1" xfId="0" applyNumberFormat="1" applyBorder="1" applyAlignment="1">
      <alignment horizontal="center"/>
    </xf>
    <xf numFmtId="172" fontId="0" fillId="0" borderId="0" xfId="0" applyNumberFormat="1" applyFill="1" applyBorder="1" applyAlignment="1">
      <alignment horizontal="center"/>
    </xf>
    <xf numFmtId="172" fontId="2" fillId="0" borderId="0" xfId="0" applyNumberFormat="1" applyFont="1" applyBorder="1" applyAlignment="1">
      <alignment horizontal="center"/>
    </xf>
    <xf numFmtId="0" fontId="2" fillId="0" borderId="0" xfId="0" applyFont="1" applyFill="1" applyAlignment="1">
      <alignment horizontal="center"/>
    </xf>
    <xf numFmtId="2" fontId="2" fillId="0" borderId="0" xfId="0" applyNumberFormat="1" applyFont="1" applyAlignment="1">
      <alignment horizontal="center"/>
    </xf>
    <xf numFmtId="2" fontId="0" fillId="0" borderId="0" xfId="2" applyNumberFormat="1" applyFont="1" applyAlignment="1">
      <alignment horizontal="center"/>
    </xf>
    <xf numFmtId="2" fontId="0" fillId="0" borderId="0" xfId="0" applyNumberFormat="1" applyFill="1" applyAlignment="1">
      <alignment horizontal="center"/>
    </xf>
    <xf numFmtId="172" fontId="0" fillId="0" borderId="0" xfId="0" applyNumberFormat="1" applyFill="1" applyAlignment="1">
      <alignment horizontal="center"/>
    </xf>
    <xf numFmtId="2" fontId="2" fillId="0" borderId="0" xfId="0" applyNumberFormat="1" applyFont="1" applyBorder="1" applyAlignment="1">
      <alignment horizontal="left"/>
    </xf>
    <xf numFmtId="2" fontId="0" fillId="0" borderId="0" xfId="2" applyNumberFormat="1" applyFont="1" applyBorder="1" applyAlignment="1">
      <alignment horizontal="left"/>
    </xf>
    <xf numFmtId="0" fontId="3" fillId="0" borderId="6" xfId="0" applyFont="1" applyBorder="1"/>
    <xf numFmtId="2" fontId="0" fillId="0" borderId="6" xfId="0" applyNumberFormat="1" applyBorder="1" applyAlignment="1">
      <alignment horizontal="center"/>
    </xf>
    <xf numFmtId="0" fontId="5" fillId="0" borderId="23" xfId="0" applyFont="1" applyBorder="1"/>
    <xf numFmtId="2" fontId="5" fillId="0" borderId="23" xfId="0" applyNumberFormat="1" applyFont="1" applyBorder="1" applyAlignment="1">
      <alignment horizontal="center"/>
    </xf>
    <xf numFmtId="0" fontId="2" fillId="0" borderId="6" xfId="0" applyFont="1" applyBorder="1"/>
    <xf numFmtId="2" fontId="0" fillId="0" borderId="6" xfId="2" applyNumberFormat="1" applyFont="1" applyBorder="1" applyAlignment="1">
      <alignment horizontal="center"/>
    </xf>
    <xf numFmtId="2" fontId="2" fillId="0" borderId="6" xfId="0" applyNumberFormat="1" applyFont="1" applyBorder="1" applyAlignment="1">
      <alignment horizontal="center"/>
    </xf>
    <xf numFmtId="2" fontId="0" fillId="0" borderId="23" xfId="0" applyNumberFormat="1" applyBorder="1" applyAlignment="1">
      <alignment horizontal="center"/>
    </xf>
    <xf numFmtId="2" fontId="22" fillId="0" borderId="0" xfId="0" applyNumberFormat="1" applyFont="1" applyAlignment="1">
      <alignment horizontal="left"/>
    </xf>
    <xf numFmtId="2" fontId="3" fillId="0" borderId="0" xfId="0" applyNumberFormat="1" applyFont="1" applyAlignment="1">
      <alignment horizontal="center"/>
    </xf>
    <xf numFmtId="0" fontId="3" fillId="0" borderId="0" xfId="0" applyFont="1" applyAlignment="1">
      <alignment horizontal="left"/>
    </xf>
    <xf numFmtId="164" fontId="0" fillId="0" borderId="0" xfId="1" applyNumberFormat="1" applyFont="1" applyAlignment="1">
      <alignment horizontal="right"/>
    </xf>
    <xf numFmtId="164" fontId="0" fillId="0" borderId="0" xfId="0" applyNumberFormat="1" applyAlignment="1">
      <alignment horizontal="right"/>
    </xf>
    <xf numFmtId="168" fontId="0" fillId="23" borderId="0" xfId="2" applyNumberFormat="1" applyFont="1" applyFill="1" applyBorder="1" applyAlignment="1">
      <alignment horizontal="center"/>
    </xf>
    <xf numFmtId="168" fontId="0" fillId="23" borderId="6" xfId="2" applyNumberFormat="1" applyFont="1" applyFill="1" applyBorder="1" applyAlignment="1">
      <alignment horizontal="center"/>
    </xf>
    <xf numFmtId="2" fontId="0" fillId="0" borderId="0" xfId="2" applyNumberFormat="1" applyFont="1" applyFill="1" applyBorder="1" applyAlignment="1">
      <alignment horizontal="center"/>
    </xf>
    <xf numFmtId="0" fontId="2" fillId="0" borderId="3" xfId="0" applyFont="1" applyFill="1" applyBorder="1"/>
    <xf numFmtId="2" fontId="0" fillId="0" borderId="3" xfId="2" applyNumberFormat="1" applyFont="1" applyFill="1" applyBorder="1" applyAlignment="1">
      <alignment horizontal="center"/>
    </xf>
    <xf numFmtId="2" fontId="0" fillId="0" borderId="3" xfId="2" applyNumberFormat="1" applyFont="1" applyFill="1" applyBorder="1" applyAlignment="1">
      <alignment horizontal="left"/>
    </xf>
    <xf numFmtId="2" fontId="2" fillId="0" borderId="3" xfId="0" applyNumberFormat="1" applyFont="1" applyFill="1" applyBorder="1" applyAlignment="1">
      <alignment horizontal="center"/>
    </xf>
    <xf numFmtId="2" fontId="2" fillId="0" borderId="0" xfId="0" applyNumberFormat="1" applyFont="1" applyFill="1" applyBorder="1" applyAlignment="1">
      <alignment horizontal="center"/>
    </xf>
    <xf numFmtId="173" fontId="0" fillId="23" borderId="0" xfId="1" applyNumberFormat="1" applyFont="1" applyFill="1" applyBorder="1" applyAlignment="1">
      <alignment horizontal="center"/>
    </xf>
    <xf numFmtId="172" fontId="2" fillId="0" borderId="0" xfId="0" applyNumberFormat="1" applyFont="1" applyFill="1" applyBorder="1" applyAlignment="1">
      <alignment horizontal="center"/>
    </xf>
    <xf numFmtId="167" fontId="3" fillId="0" borderId="0" xfId="0" applyNumberFormat="1" applyFont="1" applyFill="1" applyBorder="1"/>
    <xf numFmtId="167" fontId="0" fillId="0" borderId="0" xfId="0" applyNumberFormat="1" applyFill="1" applyBorder="1"/>
    <xf numFmtId="167" fontId="3" fillId="0" borderId="0" xfId="0" applyNumberFormat="1" applyFont="1"/>
    <xf numFmtId="167" fontId="0" fillId="0" borderId="0" xfId="0" applyNumberFormat="1" applyAlignment="1"/>
    <xf numFmtId="167" fontId="2" fillId="0" borderId="0" xfId="0" applyNumberFormat="1" applyFont="1" applyAlignment="1">
      <alignment horizontal="right"/>
    </xf>
    <xf numFmtId="0" fontId="2" fillId="18" borderId="1" xfId="0" applyFont="1" applyFill="1" applyBorder="1"/>
    <xf numFmtId="0" fontId="8" fillId="18" borderId="1" xfId="0" applyFont="1" applyFill="1" applyBorder="1" applyAlignment="1">
      <alignment horizontal="left"/>
    </xf>
    <xf numFmtId="0" fontId="2" fillId="18" borderId="1" xfId="0" applyFont="1" applyFill="1" applyBorder="1" applyAlignment="1">
      <alignment horizontal="center"/>
    </xf>
    <xf numFmtId="0" fontId="0" fillId="18" borderId="1" xfId="0" applyFill="1" applyBorder="1" applyAlignment="1">
      <alignment horizontal="left"/>
    </xf>
    <xf numFmtId="0" fontId="0" fillId="18" borderId="1" xfId="0" applyFill="1" applyBorder="1"/>
    <xf numFmtId="2" fontId="0" fillId="18" borderId="1" xfId="0" applyNumberFormat="1" applyFill="1" applyBorder="1" applyAlignment="1">
      <alignment horizontal="center"/>
    </xf>
    <xf numFmtId="2" fontId="0" fillId="11" borderId="1" xfId="0" applyNumberFormat="1" applyFill="1" applyBorder="1" applyAlignment="1">
      <alignment horizontal="center"/>
    </xf>
    <xf numFmtId="0" fontId="2" fillId="11" borderId="0" xfId="0" applyFont="1" applyFill="1"/>
    <xf numFmtId="0" fontId="0" fillId="11" borderId="0" xfId="0" applyFill="1" applyAlignment="1">
      <alignment horizontal="left"/>
    </xf>
    <xf numFmtId="0" fontId="0" fillId="11" borderId="0" xfId="0" applyFill="1"/>
    <xf numFmtId="2" fontId="0" fillId="11" borderId="0" xfId="0" applyNumberFormat="1" applyFill="1" applyAlignment="1">
      <alignment horizontal="center"/>
    </xf>
    <xf numFmtId="2" fontId="2" fillId="11" borderId="1" xfId="0" applyNumberFormat="1" applyFont="1" applyFill="1" applyBorder="1" applyAlignment="1">
      <alignment horizontal="center"/>
    </xf>
    <xf numFmtId="0" fontId="2" fillId="11" borderId="1" xfId="0" applyFont="1" applyFill="1" applyBorder="1" applyAlignment="1">
      <alignment horizontal="center"/>
    </xf>
    <xf numFmtId="166" fontId="0" fillId="0" borderId="0" xfId="0" applyNumberFormat="1" applyBorder="1" applyAlignment="1">
      <alignment horizontal="right"/>
    </xf>
    <xf numFmtId="169" fontId="0" fillId="0" borderId="0" xfId="1" applyNumberFormat="1" applyFont="1" applyBorder="1"/>
    <xf numFmtId="0" fontId="10" fillId="0" borderId="0" xfId="3" applyAlignment="1" applyProtection="1">
      <alignment horizontal="left" wrapText="1"/>
    </xf>
    <xf numFmtId="0" fontId="10" fillId="0" borderId="0" xfId="3" applyFill="1" applyBorder="1" applyAlignment="1" applyProtection="1"/>
    <xf numFmtId="0" fontId="0" fillId="24" borderId="0" xfId="0" applyFill="1"/>
    <xf numFmtId="164" fontId="0" fillId="0" borderId="0" xfId="0" applyNumberFormat="1" applyFill="1" applyAlignment="1">
      <alignment horizontal="right"/>
    </xf>
    <xf numFmtId="0" fontId="2" fillId="11" borderId="0" xfId="0" applyFont="1" applyFill="1" applyAlignment="1">
      <alignment horizontal="center"/>
    </xf>
    <xf numFmtId="0" fontId="0" fillId="11" borderId="0" xfId="0" applyFill="1" applyAlignment="1">
      <alignment horizontal="center"/>
    </xf>
    <xf numFmtId="167" fontId="2" fillId="11" borderId="0" xfId="0" applyNumberFormat="1" applyFont="1" applyFill="1" applyAlignment="1">
      <alignment horizontal="center"/>
    </xf>
    <xf numFmtId="0" fontId="0" fillId="11" borderId="20" xfId="0" applyFill="1" applyBorder="1"/>
    <xf numFmtId="0" fontId="9" fillId="11" borderId="1" xfId="0" applyFont="1" applyFill="1" applyBorder="1"/>
    <xf numFmtId="0" fontId="25" fillId="11" borderId="1" xfId="0" applyFont="1" applyFill="1" applyBorder="1" applyAlignment="1">
      <alignment wrapText="1"/>
    </xf>
    <xf numFmtId="2" fontId="9" fillId="11" borderId="1" xfId="0" applyNumberFormat="1" applyFont="1" applyFill="1" applyBorder="1"/>
    <xf numFmtId="2" fontId="9" fillId="11" borderId="14" xfId="0" applyNumberFormat="1" applyFont="1" applyFill="1" applyBorder="1"/>
    <xf numFmtId="0" fontId="9" fillId="11" borderId="0" xfId="0" applyFont="1" applyFill="1"/>
    <xf numFmtId="0" fontId="9" fillId="11" borderId="0" xfId="0" applyFont="1" applyFill="1" applyBorder="1"/>
    <xf numFmtId="0" fontId="25" fillId="11" borderId="0" xfId="0" applyFont="1" applyFill="1" applyBorder="1" applyAlignment="1">
      <alignment wrapText="1"/>
    </xf>
    <xf numFmtId="2" fontId="9" fillId="11" borderId="0" xfId="0" applyNumberFormat="1" applyFont="1" applyFill="1" applyBorder="1"/>
    <xf numFmtId="2" fontId="9" fillId="11" borderId="12" xfId="0" applyNumberFormat="1" applyFont="1" applyFill="1" applyBorder="1"/>
    <xf numFmtId="0" fontId="8" fillId="11" borderId="1" xfId="0" applyFont="1" applyFill="1" applyBorder="1" applyAlignment="1"/>
    <xf numFmtId="166" fontId="8" fillId="11" borderId="1" xfId="0" applyNumberFormat="1" applyFont="1" applyFill="1" applyBorder="1" applyAlignment="1"/>
    <xf numFmtId="2" fontId="8" fillId="11" borderId="0" xfId="0" applyNumberFormat="1" applyFont="1" applyFill="1" applyBorder="1" applyAlignment="1"/>
    <xf numFmtId="2" fontId="8" fillId="11" borderId="12" xfId="0" applyNumberFormat="1" applyFont="1" applyFill="1" applyBorder="1" applyAlignment="1"/>
    <xf numFmtId="0" fontId="8" fillId="0" borderId="0" xfId="0" applyFont="1" applyFill="1" applyAlignment="1"/>
    <xf numFmtId="0" fontId="8" fillId="11" borderId="0" xfId="0" applyFont="1" applyFill="1" applyBorder="1"/>
    <xf numFmtId="0" fontId="8" fillId="0" borderId="0" xfId="0" applyFont="1" applyFill="1"/>
    <xf numFmtId="0" fontId="26" fillId="11" borderId="1" xfId="0" applyFont="1" applyFill="1" applyBorder="1" applyAlignment="1"/>
    <xf numFmtId="0" fontId="13" fillId="0" borderId="0" xfId="0" applyFont="1" applyFill="1" applyAlignment="1"/>
    <xf numFmtId="0" fontId="8" fillId="11" borderId="0" xfId="0" applyFont="1" applyFill="1" applyBorder="1" applyAlignment="1"/>
    <xf numFmtId="0" fontId="26" fillId="11" borderId="0" xfId="0" applyFont="1" applyFill="1" applyBorder="1" applyAlignment="1"/>
    <xf numFmtId="166" fontId="8" fillId="11" borderId="0" xfId="0" applyNumberFormat="1" applyFont="1" applyFill="1" applyBorder="1"/>
    <xf numFmtId="166" fontId="8" fillId="11" borderId="9" xfId="0" applyNumberFormat="1" applyFont="1" applyFill="1" applyBorder="1"/>
    <xf numFmtId="2" fontId="8" fillId="11" borderId="9" xfId="0" applyNumberFormat="1" applyFont="1" applyFill="1" applyBorder="1"/>
    <xf numFmtId="2" fontId="2" fillId="11" borderId="0" xfId="0" applyNumberFormat="1" applyFont="1" applyFill="1" applyBorder="1" applyAlignment="1">
      <alignment horizontal="center"/>
    </xf>
    <xf numFmtId="0" fontId="2" fillId="11" borderId="17" xfId="0" applyFont="1" applyFill="1" applyBorder="1"/>
    <xf numFmtId="0" fontId="2" fillId="11" borderId="17" xfId="0" applyFont="1" applyFill="1" applyBorder="1" applyAlignment="1">
      <alignment horizontal="center"/>
    </xf>
    <xf numFmtId="167" fontId="2" fillId="11" borderId="17" xfId="0" applyNumberFormat="1" applyFont="1" applyFill="1" applyBorder="1" applyAlignment="1">
      <alignment horizontal="center"/>
    </xf>
    <xf numFmtId="170" fontId="8" fillId="11" borderId="1" xfId="0" applyNumberFormat="1" applyFont="1" applyFill="1" applyBorder="1" applyAlignment="1">
      <alignment horizontal="right"/>
    </xf>
    <xf numFmtId="166" fontId="8" fillId="11" borderId="1" xfId="0" applyNumberFormat="1" applyFont="1" applyFill="1" applyBorder="1" applyAlignment="1">
      <alignment horizontal="right"/>
    </xf>
    <xf numFmtId="166" fontId="0" fillId="11" borderId="1" xfId="0" applyNumberFormat="1" applyFill="1" applyBorder="1" applyAlignment="1">
      <alignment horizontal="right"/>
    </xf>
    <xf numFmtId="169" fontId="0" fillId="11" borderId="1" xfId="1" applyNumberFormat="1" applyFont="1" applyFill="1" applyBorder="1"/>
    <xf numFmtId="0" fontId="0" fillId="0" borderId="0" xfId="0" applyBorder="1" applyAlignment="1">
      <alignment horizontal="center" wrapText="1"/>
    </xf>
    <xf numFmtId="0" fontId="5" fillId="0" borderId="0" xfId="0" applyFont="1" applyFill="1"/>
    <xf numFmtId="0" fontId="0" fillId="0" borderId="0" xfId="0" applyBorder="1" applyAlignment="1">
      <alignment wrapText="1"/>
    </xf>
    <xf numFmtId="2" fontId="0" fillId="0" borderId="0" xfId="0" applyNumberFormat="1" applyBorder="1" applyAlignment="1">
      <alignment horizontal="center" wrapText="1"/>
    </xf>
    <xf numFmtId="0" fontId="2" fillId="0" borderId="0" xfId="0" applyFont="1" applyBorder="1" applyAlignment="1">
      <alignment wrapText="1"/>
    </xf>
    <xf numFmtId="0" fontId="18" fillId="0" borderId="0" xfId="0" applyFont="1" applyFill="1" applyBorder="1"/>
    <xf numFmtId="170" fontId="0" fillId="0" borderId="0" xfId="0" applyNumberFormat="1" applyFill="1" applyBorder="1" applyAlignment="1">
      <alignment horizontal="center"/>
    </xf>
    <xf numFmtId="170" fontId="2" fillId="0" borderId="0" xfId="0" applyNumberFormat="1" applyFont="1" applyFill="1" applyBorder="1" applyAlignment="1">
      <alignment horizontal="center"/>
    </xf>
    <xf numFmtId="0" fontId="21" fillId="0" borderId="0" xfId="0" applyFont="1" applyFill="1" applyBorder="1"/>
    <xf numFmtId="0" fontId="21" fillId="0" borderId="0" xfId="0" applyFont="1" applyFill="1" applyBorder="1" applyAlignment="1">
      <alignment horizontal="center" wrapText="1"/>
    </xf>
    <xf numFmtId="168" fontId="21" fillId="0" borderId="0" xfId="2" applyNumberFormat="1" applyFont="1" applyFill="1" applyBorder="1"/>
    <xf numFmtId="1" fontId="21" fillId="0" borderId="0" xfId="0" applyNumberFormat="1" applyFont="1" applyFill="1" applyBorder="1"/>
    <xf numFmtId="2" fontId="8" fillId="0" borderId="0" xfId="0" applyNumberFormat="1" applyFont="1" applyAlignment="1">
      <alignment horizontal="center"/>
    </xf>
    <xf numFmtId="170" fontId="8" fillId="0" borderId="0" xfId="0" applyNumberFormat="1" applyFont="1"/>
    <xf numFmtId="2" fontId="21" fillId="0" borderId="0" xfId="0" applyNumberFormat="1" applyFont="1" applyFill="1" applyBorder="1"/>
    <xf numFmtId="2" fontId="8" fillId="0" borderId="0" xfId="0" applyNumberFormat="1" applyFont="1"/>
    <xf numFmtId="0" fontId="28" fillId="0" borderId="17" xfId="0" applyFont="1" applyFill="1" applyBorder="1" applyAlignment="1">
      <alignment horizontal="center" wrapText="1"/>
    </xf>
    <xf numFmtId="0" fontId="28" fillId="0" borderId="19" xfId="0" applyFont="1" applyFill="1" applyBorder="1" applyAlignment="1">
      <alignment wrapText="1"/>
    </xf>
    <xf numFmtId="0" fontId="21" fillId="0" borderId="12" xfId="0" applyFont="1" applyFill="1" applyBorder="1"/>
    <xf numFmtId="0" fontId="21" fillId="25" borderId="12" xfId="0" applyFont="1" applyFill="1" applyBorder="1"/>
    <xf numFmtId="0" fontId="21" fillId="25" borderId="12" xfId="0" applyNumberFormat="1" applyFont="1" applyFill="1" applyBorder="1"/>
    <xf numFmtId="0" fontId="21" fillId="0" borderId="12" xfId="0" applyNumberFormat="1" applyFont="1" applyFill="1" applyBorder="1"/>
    <xf numFmtId="0" fontId="21" fillId="26" borderId="12" xfId="0" applyFont="1" applyFill="1" applyBorder="1"/>
    <xf numFmtId="0" fontId="21" fillId="26" borderId="12" xfId="0" applyNumberFormat="1" applyFont="1" applyFill="1" applyBorder="1"/>
    <xf numFmtId="0" fontId="8" fillId="27" borderId="19" xfId="0" applyFont="1" applyFill="1" applyBorder="1"/>
    <xf numFmtId="168" fontId="2" fillId="0" borderId="17" xfId="0" applyNumberFormat="1" applyFont="1" applyBorder="1"/>
    <xf numFmtId="2" fontId="8" fillId="27" borderId="17" xfId="0" applyNumberFormat="1" applyFont="1" applyFill="1" applyBorder="1"/>
    <xf numFmtId="0" fontId="28" fillId="0" borderId="19" xfId="0" applyFont="1" applyFill="1" applyBorder="1" applyAlignment="1">
      <alignment horizontal="center" wrapText="1"/>
    </xf>
    <xf numFmtId="0" fontId="8" fillId="0" borderId="12" xfId="0" applyFont="1" applyBorder="1" applyAlignment="1">
      <alignment horizontal="center"/>
    </xf>
    <xf numFmtId="170" fontId="8" fillId="0" borderId="12" xfId="0" applyNumberFormat="1" applyFont="1" applyBorder="1"/>
    <xf numFmtId="0" fontId="8" fillId="0" borderId="12" xfId="0" applyFont="1" applyBorder="1"/>
    <xf numFmtId="2" fontId="0" fillId="10" borderId="38" xfId="0" applyNumberFormat="1" applyFill="1" applyBorder="1"/>
    <xf numFmtId="2" fontId="0" fillId="0" borderId="3" xfId="0" applyNumberFormat="1" applyFill="1" applyBorder="1"/>
    <xf numFmtId="10" fontId="6" fillId="0" borderId="14" xfId="2" applyNumberFormat="1" applyFont="1" applyBorder="1" applyAlignment="1">
      <alignment horizontal="center"/>
    </xf>
    <xf numFmtId="168" fontId="2" fillId="11" borderId="12" xfId="2" applyNumberFormat="1" applyFont="1" applyFill="1" applyBorder="1" applyAlignment="1">
      <alignment horizontal="center"/>
    </xf>
    <xf numFmtId="10" fontId="2" fillId="11" borderId="14" xfId="2" applyNumberFormat="1" applyFont="1" applyFill="1" applyBorder="1" applyAlignment="1">
      <alignment horizontal="center"/>
    </xf>
    <xf numFmtId="0" fontId="2" fillId="0" borderId="1" xfId="0" applyFont="1" applyBorder="1" applyAlignment="1">
      <alignment horizontal="center"/>
    </xf>
    <xf numFmtId="0" fontId="2" fillId="11" borderId="0" xfId="0" applyFont="1" applyFill="1" applyBorder="1" applyAlignment="1">
      <alignment horizontal="center"/>
    </xf>
    <xf numFmtId="0" fontId="2" fillId="0" borderId="9" xfId="0" applyFont="1" applyBorder="1" applyAlignment="1">
      <alignment horizontal="center"/>
    </xf>
    <xf numFmtId="167" fontId="0" fillId="0" borderId="0" xfId="0" applyNumberFormat="1" applyFill="1" applyBorder="1" applyAlignment="1">
      <alignment horizontal="center"/>
    </xf>
    <xf numFmtId="10" fontId="0" fillId="0" borderId="12" xfId="2" applyNumberFormat="1" applyFont="1" applyFill="1" applyBorder="1" applyAlignment="1">
      <alignment horizontal="center"/>
    </xf>
    <xf numFmtId="167" fontId="0" fillId="0" borderId="0" xfId="0" applyNumberFormat="1" applyFill="1" applyAlignment="1">
      <alignment horizontal="center"/>
    </xf>
    <xf numFmtId="0" fontId="2" fillId="0" borderId="1" xfId="0" applyFont="1" applyFill="1" applyBorder="1" applyAlignment="1">
      <alignment horizontal="center"/>
    </xf>
    <xf numFmtId="167" fontId="0" fillId="0" borderId="1" xfId="0" applyNumberFormat="1" applyFill="1" applyBorder="1" applyAlignment="1">
      <alignment horizontal="center"/>
    </xf>
    <xf numFmtId="10" fontId="0" fillId="0" borderId="14" xfId="2" applyNumberFormat="1" applyFont="1" applyFill="1" applyBorder="1" applyAlignment="1">
      <alignment horizontal="center"/>
    </xf>
    <xf numFmtId="10" fontId="0" fillId="0" borderId="0" xfId="2" applyNumberFormat="1" applyFont="1" applyFill="1" applyAlignment="1">
      <alignment horizontal="center"/>
    </xf>
    <xf numFmtId="168" fontId="2" fillId="5" borderId="12" xfId="2" applyNumberFormat="1" applyFont="1" applyFill="1" applyBorder="1" applyAlignment="1">
      <alignment horizontal="center"/>
    </xf>
    <xf numFmtId="0" fontId="14" fillId="0" borderId="0" xfId="0" applyFont="1" applyFill="1"/>
    <xf numFmtId="0" fontId="2" fillId="0" borderId="6" xfId="0" applyFont="1" applyBorder="1" applyAlignment="1">
      <alignment wrapText="1"/>
    </xf>
    <xf numFmtId="168" fontId="0" fillId="6" borderId="0" xfId="2" applyNumberFormat="1" applyFont="1" applyFill="1"/>
    <xf numFmtId="168" fontId="2" fillId="0" borderId="0" xfId="2" applyNumberFormat="1" applyFont="1"/>
    <xf numFmtId="168" fontId="2" fillId="6" borderId="0" xfId="2" applyNumberFormat="1" applyFont="1" applyFill="1"/>
    <xf numFmtId="168" fontId="0" fillId="0" borderId="1" xfId="2" applyNumberFormat="1" applyFont="1" applyBorder="1"/>
    <xf numFmtId="168" fontId="0" fillId="6" borderId="1" xfId="2" applyNumberFormat="1" applyFont="1" applyFill="1" applyBorder="1"/>
    <xf numFmtId="2" fontId="0" fillId="0" borderId="0" xfId="2" applyNumberFormat="1" applyFont="1" applyFill="1" applyAlignment="1">
      <alignment horizontal="right"/>
    </xf>
    <xf numFmtId="2" fontId="0" fillId="0" borderId="1" xfId="2" applyNumberFormat="1" applyFont="1" applyFill="1" applyBorder="1" applyAlignment="1">
      <alignment horizontal="right"/>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2" fontId="0" fillId="11" borderId="9" xfId="0" applyNumberFormat="1" applyFill="1" applyBorder="1" applyAlignment="1">
      <alignment horizontal="center"/>
    </xf>
    <xf numFmtId="0" fontId="2" fillId="0" borderId="20" xfId="0" applyFont="1" applyFill="1" applyBorder="1"/>
    <xf numFmtId="0" fontId="0" fillId="0" borderId="20" xfId="0" applyFill="1" applyBorder="1"/>
    <xf numFmtId="0" fontId="0" fillId="0" borderId="21" xfId="0" applyFill="1" applyBorder="1"/>
    <xf numFmtId="0" fontId="3" fillId="0" borderId="18" xfId="0" applyFont="1" applyBorder="1" applyAlignment="1">
      <alignment vertical="center"/>
    </xf>
    <xf numFmtId="0" fontId="2" fillId="0" borderId="21" xfId="0" applyFont="1" applyFill="1" applyBorder="1"/>
    <xf numFmtId="0" fontId="0" fillId="0" borderId="8" xfId="0" applyBorder="1"/>
    <xf numFmtId="165" fontId="0" fillId="0" borderId="10" xfId="1" applyNumberFormat="1" applyFont="1" applyBorder="1"/>
    <xf numFmtId="0" fontId="0" fillId="0" borderId="11" xfId="0" applyBorder="1"/>
    <xf numFmtId="165" fontId="0" fillId="0" borderId="12" xfId="1" applyNumberFormat="1" applyFont="1" applyBorder="1"/>
    <xf numFmtId="3" fontId="2" fillId="0" borderId="11" xfId="0" applyNumberFormat="1" applyFont="1" applyBorder="1"/>
    <xf numFmtId="0" fontId="2" fillId="28" borderId="8" xfId="0" applyFont="1" applyFill="1" applyBorder="1"/>
    <xf numFmtId="0" fontId="2" fillId="28" borderId="9" xfId="0" applyFont="1" applyFill="1" applyBorder="1"/>
    <xf numFmtId="0" fontId="0" fillId="28" borderId="9" xfId="0" applyFill="1" applyBorder="1"/>
    <xf numFmtId="165" fontId="0" fillId="28" borderId="10" xfId="0" applyNumberFormat="1" applyFill="1" applyBorder="1"/>
    <xf numFmtId="0" fontId="2" fillId="28" borderId="13" xfId="0" applyFont="1" applyFill="1" applyBorder="1"/>
    <xf numFmtId="0" fontId="2" fillId="28" borderId="1" xfId="0" applyFont="1" applyFill="1" applyBorder="1"/>
    <xf numFmtId="0" fontId="0" fillId="28" borderId="1" xfId="0" applyFill="1" applyBorder="1"/>
    <xf numFmtId="9" fontId="0" fillId="28" borderId="14" xfId="2" applyFont="1" applyFill="1" applyBorder="1"/>
    <xf numFmtId="0" fontId="34" fillId="0" borderId="8" xfId="0" applyFont="1" applyFill="1" applyBorder="1" applyAlignment="1">
      <alignment wrapText="1"/>
    </xf>
    <xf numFmtId="0" fontId="34" fillId="0" borderId="11" xfId="0" applyFont="1" applyFill="1" applyBorder="1" applyAlignment="1">
      <alignment wrapText="1"/>
    </xf>
    <xf numFmtId="0" fontId="34" fillId="0" borderId="11" xfId="0" applyFont="1" applyFill="1" applyBorder="1"/>
    <xf numFmtId="0" fontId="34" fillId="28" borderId="8" xfId="0" applyFont="1" applyFill="1" applyBorder="1"/>
    <xf numFmtId="0" fontId="34" fillId="28" borderId="11" xfId="0" applyFont="1" applyFill="1" applyBorder="1"/>
    <xf numFmtId="0" fontId="0" fillId="28" borderId="0" xfId="0" applyFill="1" applyBorder="1"/>
    <xf numFmtId="165" fontId="0" fillId="28" borderId="12" xfId="0" applyNumberFormat="1" applyFill="1" applyBorder="1"/>
    <xf numFmtId="9" fontId="0" fillId="28" borderId="12" xfId="2" applyFont="1" applyFill="1" applyBorder="1"/>
    <xf numFmtId="0" fontId="2" fillId="28" borderId="11" xfId="0" applyFont="1" applyFill="1" applyBorder="1"/>
    <xf numFmtId="0" fontId="2" fillId="28" borderId="0" xfId="0" applyFont="1" applyFill="1" applyBorder="1"/>
    <xf numFmtId="9" fontId="0" fillId="28" borderId="0" xfId="2" applyFont="1" applyFill="1" applyBorder="1"/>
    <xf numFmtId="9" fontId="0" fillId="0" borderId="0" xfId="2" applyFont="1" applyFill="1" applyBorder="1"/>
    <xf numFmtId="164" fontId="2" fillId="0" borderId="9" xfId="1" applyFont="1" applyBorder="1"/>
    <xf numFmtId="164" fontId="0" fillId="0" borderId="0" xfId="1" applyFont="1" applyBorder="1"/>
    <xf numFmtId="0" fontId="2" fillId="28" borderId="37" xfId="0" applyFont="1" applyFill="1" applyBorder="1"/>
    <xf numFmtId="0" fontId="0" fillId="28" borderId="17" xfId="0" applyFill="1" applyBorder="1"/>
    <xf numFmtId="9" fontId="0" fillId="28" borderId="17" xfId="2" applyFont="1" applyFill="1" applyBorder="1"/>
    <xf numFmtId="0" fontId="0" fillId="0" borderId="12" xfId="0" applyFont="1" applyFill="1" applyBorder="1"/>
    <xf numFmtId="165" fontId="0" fillId="28" borderId="0" xfId="0" applyNumberFormat="1" applyFill="1" applyBorder="1"/>
    <xf numFmtId="9" fontId="0" fillId="28" borderId="1" xfId="2" applyFont="1" applyFill="1" applyBorder="1"/>
    <xf numFmtId="165" fontId="0" fillId="28" borderId="9" xfId="0" applyNumberFormat="1" applyFill="1" applyBorder="1"/>
    <xf numFmtId="0" fontId="0" fillId="28" borderId="10" xfId="0" applyFill="1" applyBorder="1"/>
    <xf numFmtId="0" fontId="0" fillId="28" borderId="12" xfId="0" applyFill="1" applyBorder="1"/>
    <xf numFmtId="0" fontId="0" fillId="28" borderId="14" xfId="0" applyFill="1" applyBorder="1"/>
    <xf numFmtId="0" fontId="0" fillId="0" borderId="10" xfId="0" applyFont="1" applyFill="1" applyBorder="1"/>
    <xf numFmtId="0" fontId="2" fillId="0" borderId="25" xfId="0" applyFont="1" applyFill="1" applyBorder="1"/>
    <xf numFmtId="0" fontId="0" fillId="0" borderId="20" xfId="0" applyFont="1" applyFill="1" applyBorder="1"/>
    <xf numFmtId="0" fontId="0" fillId="28" borderId="25" xfId="0" applyFill="1" applyBorder="1"/>
    <xf numFmtId="0" fontId="0" fillId="28" borderId="20" xfId="0" applyFill="1" applyBorder="1"/>
    <xf numFmtId="0" fontId="0" fillId="28" borderId="21" xfId="0" applyFill="1" applyBorder="1"/>
    <xf numFmtId="0" fontId="0" fillId="28" borderId="18" xfId="0" applyFill="1" applyBorder="1"/>
    <xf numFmtId="165" fontId="2" fillId="0" borderId="9" xfId="1" applyNumberFormat="1" applyFont="1" applyBorder="1"/>
    <xf numFmtId="165" fontId="2" fillId="0" borderId="0" xfId="1" applyNumberFormat="1" applyFont="1" applyBorder="1"/>
    <xf numFmtId="165" fontId="0" fillId="28" borderId="17" xfId="0" applyNumberFormat="1" applyFill="1" applyBorder="1"/>
    <xf numFmtId="0" fontId="2" fillId="4" borderId="2" xfId="0" applyFont="1" applyFill="1" applyBorder="1"/>
    <xf numFmtId="0" fontId="2" fillId="4" borderId="3" xfId="0" applyFont="1" applyFill="1" applyBorder="1"/>
    <xf numFmtId="0" fontId="0" fillId="4" borderId="3" xfId="0" applyFill="1" applyBorder="1"/>
    <xf numFmtId="165" fontId="0" fillId="4" borderId="39" xfId="0" applyNumberFormat="1" applyFill="1" applyBorder="1"/>
    <xf numFmtId="0" fontId="0" fillId="4" borderId="4" xfId="0" applyFont="1" applyFill="1" applyBorder="1"/>
    <xf numFmtId="0" fontId="2" fillId="4" borderId="15" xfId="0" applyFont="1" applyFill="1" applyBorder="1"/>
    <xf numFmtId="0" fontId="2" fillId="4" borderId="0" xfId="0" applyFont="1" applyFill="1" applyBorder="1"/>
    <xf numFmtId="0" fontId="0" fillId="4" borderId="0" xfId="0" applyFill="1" applyBorder="1"/>
    <xf numFmtId="165" fontId="0" fillId="4" borderId="12" xfId="0" applyNumberFormat="1" applyFill="1" applyBorder="1"/>
    <xf numFmtId="0" fontId="0" fillId="4" borderId="16" xfId="0" applyFont="1" applyFill="1" applyBorder="1"/>
    <xf numFmtId="0" fontId="2" fillId="4" borderId="5" xfId="0" applyFont="1" applyFill="1" applyBorder="1"/>
    <xf numFmtId="0" fontId="2" fillId="4" borderId="6" xfId="0" applyFont="1" applyFill="1" applyBorder="1"/>
    <xf numFmtId="0" fontId="0" fillId="4" borderId="6" xfId="0" applyFill="1" applyBorder="1"/>
    <xf numFmtId="165" fontId="0" fillId="4" borderId="40" xfId="0" applyNumberFormat="1" applyFill="1" applyBorder="1"/>
    <xf numFmtId="0" fontId="0" fillId="4" borderId="7" xfId="0" applyFont="1" applyFill="1" applyBorder="1"/>
    <xf numFmtId="0" fontId="22" fillId="0" borderId="0" xfId="0" applyFont="1"/>
    <xf numFmtId="0" fontId="2" fillId="0" borderId="20" xfId="0" applyFont="1" applyBorder="1"/>
    <xf numFmtId="166" fontId="2" fillId="0" borderId="0" xfId="0" applyNumberFormat="1" applyFont="1" applyFill="1" applyAlignment="1">
      <alignment horizontal="center"/>
    </xf>
    <xf numFmtId="0" fontId="0" fillId="0" borderId="10" xfId="0" applyBorder="1"/>
    <xf numFmtId="0" fontId="2" fillId="0" borderId="0" xfId="0" applyFont="1" applyBorder="1" applyAlignment="1">
      <alignment horizontal="center" wrapText="1"/>
    </xf>
    <xf numFmtId="0" fontId="2" fillId="0" borderId="12" xfId="0" applyFont="1" applyBorder="1" applyAlignment="1">
      <alignment horizontal="center" wrapText="1"/>
    </xf>
    <xf numFmtId="168" fontId="0" fillId="0" borderId="0" xfId="2" applyNumberFormat="1" applyFont="1" applyBorder="1"/>
    <xf numFmtId="167" fontId="0" fillId="0" borderId="12" xfId="0" applyNumberFormat="1" applyBorder="1"/>
    <xf numFmtId="0" fontId="0" fillId="0" borderId="14" xfId="0" applyBorder="1"/>
    <xf numFmtId="166" fontId="0" fillId="0" borderId="8" xfId="0" applyNumberFormat="1" applyBorder="1"/>
    <xf numFmtId="2" fontId="0" fillId="0" borderId="9" xfId="0" applyNumberFormat="1" applyBorder="1"/>
    <xf numFmtId="168" fontId="0" fillId="0" borderId="9" xfId="2" applyNumberFormat="1" applyFont="1" applyBorder="1"/>
    <xf numFmtId="167" fontId="0" fillId="0" borderId="10" xfId="0" applyNumberFormat="1" applyBorder="1"/>
    <xf numFmtId="166" fontId="0" fillId="0" borderId="11" xfId="0" applyNumberFormat="1" applyBorder="1"/>
    <xf numFmtId="0" fontId="2" fillId="0" borderId="25" xfId="0" applyFont="1" applyBorder="1"/>
    <xf numFmtId="0" fontId="2" fillId="0" borderId="21" xfId="0" applyFont="1" applyBorder="1"/>
    <xf numFmtId="0" fontId="2" fillId="0" borderId="19" xfId="0" applyFont="1" applyBorder="1" applyAlignment="1">
      <alignment horizontal="center" wrapText="1"/>
    </xf>
    <xf numFmtId="0" fontId="2" fillId="0" borderId="37" xfId="0" applyFont="1" applyBorder="1" applyAlignment="1">
      <alignment horizontal="center" wrapText="1"/>
    </xf>
    <xf numFmtId="168" fontId="2" fillId="0" borderId="0" xfId="2" applyNumberFormat="1" applyFont="1" applyBorder="1"/>
    <xf numFmtId="2" fontId="0" fillId="0" borderId="8" xfId="0" applyNumberFormat="1" applyBorder="1"/>
    <xf numFmtId="0" fontId="2" fillId="0" borderId="17" xfId="0" applyFont="1" applyBorder="1" applyAlignment="1">
      <alignment horizontal="center" wrapText="1"/>
    </xf>
    <xf numFmtId="0" fontId="2" fillId="0" borderId="18" xfId="0" applyFont="1" applyBorder="1"/>
    <xf numFmtId="0" fontId="3" fillId="4" borderId="8" xfId="0" applyFont="1" applyFill="1" applyBorder="1"/>
    <xf numFmtId="0" fontId="0" fillId="4" borderId="9" xfId="0" applyFill="1" applyBorder="1"/>
    <xf numFmtId="0" fontId="0" fillId="4" borderId="10" xfId="0" applyFill="1" applyBorder="1"/>
    <xf numFmtId="166" fontId="0" fillId="0" borderId="37" xfId="0" applyNumberFormat="1" applyBorder="1"/>
    <xf numFmtId="2" fontId="0" fillId="0" borderId="17" xfId="0" applyNumberFormat="1" applyBorder="1"/>
    <xf numFmtId="167" fontId="0" fillId="0" borderId="19" xfId="0" applyNumberFormat="1" applyBorder="1"/>
    <xf numFmtId="0" fontId="0" fillId="0" borderId="37" xfId="0" applyBorder="1"/>
    <xf numFmtId="2" fontId="2" fillId="0" borderId="0" xfId="0" applyNumberFormat="1" applyFont="1" applyBorder="1" applyAlignment="1">
      <alignment horizontal="right" wrapText="1"/>
    </xf>
    <xf numFmtId="2" fontId="0" fillId="0" borderId="0" xfId="0" applyNumberFormat="1" applyBorder="1" applyAlignment="1">
      <alignment horizontal="right"/>
    </xf>
    <xf numFmtId="167" fontId="0" fillId="0" borderId="0" xfId="0" applyNumberFormat="1" applyBorder="1" applyAlignment="1">
      <alignment horizontal="right"/>
    </xf>
    <xf numFmtId="2" fontId="0" fillId="0" borderId="1" xfId="0" applyNumberFormat="1" applyBorder="1" applyAlignment="1">
      <alignment horizontal="right"/>
    </xf>
    <xf numFmtId="167" fontId="0" fillId="0" borderId="1" xfId="0" applyNumberFormat="1" applyBorder="1"/>
    <xf numFmtId="2" fontId="0" fillId="0" borderId="14" xfId="0" applyNumberFormat="1" applyBorder="1" applyAlignment="1">
      <alignment horizontal="right"/>
    </xf>
    <xf numFmtId="2" fontId="2" fillId="0" borderId="8" xfId="0" applyNumberFormat="1" applyFont="1" applyBorder="1" applyAlignment="1">
      <alignment horizontal="right" wrapText="1"/>
    </xf>
    <xf numFmtId="2" fontId="2" fillId="0" borderId="9" xfId="0" applyNumberFormat="1" applyFont="1" applyBorder="1" applyAlignment="1">
      <alignment horizontal="right" wrapText="1"/>
    </xf>
    <xf numFmtId="167" fontId="2" fillId="0" borderId="9" xfId="0" applyNumberFormat="1" applyFont="1" applyBorder="1" applyAlignment="1">
      <alignment horizontal="right" wrapText="1"/>
    </xf>
    <xf numFmtId="2" fontId="0" fillId="0" borderId="11" xfId="0" applyNumberFormat="1" applyBorder="1" applyAlignment="1">
      <alignment horizontal="right"/>
    </xf>
    <xf numFmtId="0" fontId="2" fillId="0" borderId="37" xfId="0" applyFont="1" applyBorder="1"/>
    <xf numFmtId="2" fontId="0" fillId="0" borderId="37" xfId="0" applyNumberFormat="1" applyBorder="1" applyAlignment="1">
      <alignment horizontal="right"/>
    </xf>
    <xf numFmtId="2" fontId="0" fillId="0" borderId="17" xfId="0" applyNumberFormat="1" applyBorder="1" applyAlignment="1">
      <alignment horizontal="right"/>
    </xf>
    <xf numFmtId="167" fontId="0" fillId="0" borderId="17" xfId="0" applyNumberFormat="1" applyBorder="1"/>
    <xf numFmtId="2" fontId="0" fillId="0" borderId="19" xfId="0" applyNumberFormat="1" applyBorder="1" applyAlignment="1">
      <alignment horizontal="right"/>
    </xf>
    <xf numFmtId="167" fontId="0" fillId="0" borderId="0" xfId="0" applyNumberFormat="1" applyBorder="1"/>
    <xf numFmtId="0" fontId="2" fillId="0" borderId="8" xfId="0" applyFont="1" applyFill="1" applyBorder="1"/>
    <xf numFmtId="2" fontId="0" fillId="0" borderId="9" xfId="0" applyNumberFormat="1" applyBorder="1" applyAlignment="1">
      <alignment horizontal="right"/>
    </xf>
    <xf numFmtId="167" fontId="0" fillId="0" borderId="9" xfId="0" applyNumberFormat="1" applyBorder="1"/>
    <xf numFmtId="2" fontId="0" fillId="0" borderId="10" xfId="0" applyNumberFormat="1" applyBorder="1" applyAlignment="1">
      <alignment horizontal="right"/>
    </xf>
    <xf numFmtId="2" fontId="0" fillId="0" borderId="12" xfId="0" applyNumberFormat="1" applyBorder="1" applyAlignment="1">
      <alignment horizontal="right"/>
    </xf>
    <xf numFmtId="0" fontId="2" fillId="0" borderId="13" xfId="0" applyFont="1" applyFill="1" applyBorder="1"/>
    <xf numFmtId="0" fontId="3" fillId="4" borderId="37" xfId="0" applyFont="1" applyFill="1" applyBorder="1"/>
    <xf numFmtId="0" fontId="0" fillId="4" borderId="17" xfId="0" applyFill="1" applyBorder="1"/>
    <xf numFmtId="0" fontId="0" fillId="4" borderId="19" xfId="0" applyFill="1" applyBorder="1"/>
    <xf numFmtId="0" fontId="2" fillId="4" borderId="17" xfId="0" applyFont="1" applyFill="1" applyBorder="1"/>
    <xf numFmtId="2" fontId="0" fillId="4" borderId="17" xfId="0" applyNumberFormat="1" applyFill="1" applyBorder="1"/>
    <xf numFmtId="0" fontId="3" fillId="0" borderId="13" xfId="0" applyFont="1" applyBorder="1"/>
    <xf numFmtId="0" fontId="2" fillId="0" borderId="19" xfId="0" applyFont="1" applyBorder="1"/>
    <xf numFmtId="167" fontId="3" fillId="30" borderId="19" xfId="0" applyNumberFormat="1" applyFont="1" applyFill="1" applyBorder="1"/>
    <xf numFmtId="164" fontId="5" fillId="0" borderId="0" xfId="0" applyNumberFormat="1" applyFont="1" applyFill="1" applyAlignment="1">
      <alignment horizontal="left"/>
    </xf>
    <xf numFmtId="164" fontId="2" fillId="0" borderId="0" xfId="0" applyNumberFormat="1" applyFont="1" applyFill="1" applyAlignment="1">
      <alignment horizontal="left"/>
    </xf>
    <xf numFmtId="164" fontId="0" fillId="0" borderId="0" xfId="0" applyNumberFormat="1" applyAlignment="1">
      <alignment horizontal="left"/>
    </xf>
    <xf numFmtId="165" fontId="0" fillId="0" borderId="0" xfId="1" applyNumberFormat="1" applyFont="1" applyBorder="1" applyAlignment="1">
      <alignment horizontal="center"/>
    </xf>
    <xf numFmtId="172" fontId="2" fillId="0" borderId="12" xfId="0" applyNumberFormat="1" applyFont="1" applyBorder="1" applyAlignment="1">
      <alignment horizontal="left"/>
    </xf>
    <xf numFmtId="165" fontId="0" fillId="0" borderId="0" xfId="1" applyNumberFormat="1" applyFont="1" applyFill="1" applyBorder="1" applyAlignment="1">
      <alignment horizontal="center"/>
    </xf>
    <xf numFmtId="172" fontId="2" fillId="0" borderId="12" xfId="0" applyNumberFormat="1" applyFont="1" applyFill="1" applyBorder="1" applyAlignment="1">
      <alignment horizontal="left"/>
    </xf>
    <xf numFmtId="164" fontId="0" fillId="0" borderId="1" xfId="1" applyNumberFormat="1" applyFont="1" applyBorder="1" applyAlignment="1">
      <alignment horizontal="right"/>
    </xf>
    <xf numFmtId="164" fontId="0" fillId="0" borderId="14" xfId="1" applyNumberFormat="1" applyFont="1" applyBorder="1" applyAlignment="1">
      <alignment horizontal="right"/>
    </xf>
    <xf numFmtId="0" fontId="0" fillId="0" borderId="20" xfId="0" applyBorder="1" applyAlignment="1">
      <alignment horizontal="left"/>
    </xf>
    <xf numFmtId="0" fontId="2" fillId="0" borderId="21" xfId="0" applyFont="1" applyBorder="1" applyAlignment="1">
      <alignment horizontal="left"/>
    </xf>
    <xf numFmtId="0" fontId="3" fillId="6" borderId="37" xfId="0" applyFont="1" applyFill="1" applyBorder="1"/>
    <xf numFmtId="0" fontId="0" fillId="6" borderId="17" xfId="0" applyFill="1" applyBorder="1"/>
    <xf numFmtId="0" fontId="0" fillId="6" borderId="19" xfId="0" applyFill="1" applyBorder="1"/>
    <xf numFmtId="165" fontId="0" fillId="0" borderId="0" xfId="1" applyNumberFormat="1" applyFont="1" applyBorder="1" applyAlignment="1">
      <alignment horizontal="right"/>
    </xf>
    <xf numFmtId="164" fontId="0" fillId="0" borderId="1" xfId="0" applyNumberFormat="1" applyBorder="1" applyAlignment="1">
      <alignment horizontal="right"/>
    </xf>
    <xf numFmtId="164" fontId="5" fillId="0" borderId="14" xfId="0" applyNumberFormat="1" applyFont="1" applyFill="1" applyBorder="1" applyAlignment="1">
      <alignment horizontal="left"/>
    </xf>
    <xf numFmtId="0" fontId="2" fillId="0" borderId="20" xfId="0" applyFont="1" applyBorder="1" applyAlignment="1">
      <alignment horizontal="left"/>
    </xf>
    <xf numFmtId="0" fontId="3" fillId="6" borderId="37" xfId="0" applyFont="1" applyFill="1" applyBorder="1" applyAlignment="1">
      <alignment horizontal="left"/>
    </xf>
    <xf numFmtId="0" fontId="2" fillId="6" borderId="17" xfId="0" applyFont="1" applyFill="1" applyBorder="1" applyAlignment="1">
      <alignment horizontal="left"/>
    </xf>
    <xf numFmtId="164" fontId="0" fillId="6" borderId="17" xfId="1" applyNumberFormat="1" applyFont="1" applyFill="1" applyBorder="1" applyAlignment="1">
      <alignment horizontal="right"/>
    </xf>
    <xf numFmtId="164" fontId="0" fillId="6" borderId="19" xfId="1" applyNumberFormat="1" applyFont="1" applyFill="1" applyBorder="1" applyAlignment="1">
      <alignment horizontal="right"/>
    </xf>
    <xf numFmtId="164" fontId="0" fillId="0" borderId="0" xfId="0" applyNumberFormat="1" applyBorder="1" applyAlignment="1">
      <alignment horizontal="right"/>
    </xf>
    <xf numFmtId="164" fontId="0" fillId="0" borderId="0" xfId="0" applyNumberFormat="1" applyFill="1" applyBorder="1" applyAlignment="1">
      <alignment horizontal="right"/>
    </xf>
    <xf numFmtId="164" fontId="0" fillId="0" borderId="14" xfId="0" applyNumberFormat="1" applyBorder="1" applyAlignment="1">
      <alignment horizontal="left"/>
    </xf>
    <xf numFmtId="0" fontId="2" fillId="0" borderId="14" xfId="0" applyFont="1" applyFill="1" applyBorder="1" applyAlignment="1">
      <alignment horizontal="left"/>
    </xf>
    <xf numFmtId="164" fontId="0" fillId="6" borderId="17" xfId="0" applyNumberFormat="1" applyFill="1" applyBorder="1" applyAlignment="1">
      <alignment horizontal="right"/>
    </xf>
    <xf numFmtId="164" fontId="5" fillId="6" borderId="19" xfId="0" applyNumberFormat="1" applyFont="1" applyFill="1" applyBorder="1" applyAlignment="1">
      <alignment horizontal="left"/>
    </xf>
    <xf numFmtId="164" fontId="2" fillId="0" borderId="0" xfId="0" applyNumberFormat="1" applyFont="1" applyBorder="1" applyAlignment="1">
      <alignment horizontal="right"/>
    </xf>
    <xf numFmtId="0" fontId="2" fillId="0" borderId="14" xfId="0" applyFont="1" applyBorder="1" applyAlignment="1">
      <alignment horizontal="left"/>
    </xf>
    <xf numFmtId="0" fontId="2" fillId="0" borderId="18" xfId="0" applyFont="1" applyBorder="1" applyAlignment="1">
      <alignment horizontal="left"/>
    </xf>
    <xf numFmtId="164" fontId="0" fillId="6" borderId="19" xfId="0" applyNumberFormat="1" applyFill="1" applyBorder="1" applyAlignment="1">
      <alignment horizontal="left"/>
    </xf>
    <xf numFmtId="164" fontId="3" fillId="31" borderId="0" xfId="0" applyNumberFormat="1" applyFont="1" applyFill="1" applyBorder="1" applyAlignment="1">
      <alignment horizontal="right"/>
    </xf>
    <xf numFmtId="166" fontId="2" fillId="0" borderId="0" xfId="0" applyNumberFormat="1" applyFont="1" applyAlignment="1">
      <alignment horizontal="center"/>
    </xf>
    <xf numFmtId="164" fontId="2" fillId="0" borderId="0" xfId="1" applyFont="1" applyBorder="1"/>
    <xf numFmtId="0" fontId="2" fillId="0" borderId="12" xfId="1" applyNumberFormat="1" applyFont="1" applyFill="1" applyBorder="1" applyAlignment="1">
      <alignment horizontal="left"/>
    </xf>
    <xf numFmtId="0" fontId="2" fillId="0" borderId="12" xfId="1" applyNumberFormat="1" applyFont="1" applyBorder="1" applyAlignment="1">
      <alignment horizontal="left"/>
    </xf>
    <xf numFmtId="0" fontId="2" fillId="0" borderId="12" xfId="0" applyNumberFormat="1" applyFont="1" applyFill="1" applyBorder="1" applyAlignment="1">
      <alignment horizontal="left"/>
    </xf>
    <xf numFmtId="0" fontId="2" fillId="0" borderId="12" xfId="0" applyNumberFormat="1" applyFont="1" applyBorder="1" applyAlignment="1">
      <alignment horizontal="left"/>
    </xf>
    <xf numFmtId="0" fontId="5" fillId="0" borderId="12" xfId="0" applyNumberFormat="1" applyFont="1" applyFill="1" applyBorder="1" applyAlignment="1">
      <alignment horizontal="left"/>
    </xf>
    <xf numFmtId="0" fontId="0" fillId="0" borderId="12" xfId="0" applyNumberFormat="1" applyBorder="1" applyAlignment="1">
      <alignment horizontal="left"/>
    </xf>
    <xf numFmtId="0" fontId="2" fillId="0" borderId="14" xfId="0" applyNumberFormat="1" applyFont="1" applyBorder="1" applyAlignment="1">
      <alignment horizontal="left"/>
    </xf>
    <xf numFmtId="0" fontId="3" fillId="0" borderId="0" xfId="0" applyFont="1" applyFill="1" applyAlignment="1">
      <alignment horizontal="center"/>
    </xf>
    <xf numFmtId="172" fontId="3" fillId="0" borderId="0" xfId="0" applyNumberFormat="1" applyFont="1" applyFill="1" applyBorder="1" applyAlignment="1">
      <alignment horizontal="center"/>
    </xf>
    <xf numFmtId="164" fontId="0" fillId="0" borderId="0" xfId="0" applyNumberFormat="1" applyFill="1"/>
    <xf numFmtId="0" fontId="3" fillId="0" borderId="0" xfId="0" applyFont="1" applyFill="1" applyAlignment="1">
      <alignment horizontal="left"/>
    </xf>
    <xf numFmtId="0" fontId="5" fillId="0" borderId="0" xfId="0" applyFont="1" applyFill="1" applyAlignment="1">
      <alignment horizontal="left"/>
    </xf>
    <xf numFmtId="164" fontId="0" fillId="0" borderId="0" xfId="1" applyNumberFormat="1" applyFont="1" applyFill="1" applyAlignment="1">
      <alignment horizontal="right"/>
    </xf>
    <xf numFmtId="164" fontId="2" fillId="0" borderId="0" xfId="0" applyNumberFormat="1" applyFont="1" applyFill="1" applyAlignment="1">
      <alignment horizontal="right"/>
    </xf>
    <xf numFmtId="164" fontId="3" fillId="0" borderId="0" xfId="0" applyNumberFormat="1" applyFont="1" applyFill="1" applyAlignment="1">
      <alignment horizontal="right"/>
    </xf>
    <xf numFmtId="0" fontId="3" fillId="0" borderId="0" xfId="0" applyFont="1" applyFill="1" applyBorder="1" applyAlignment="1">
      <alignment horizontal="left"/>
    </xf>
    <xf numFmtId="172" fontId="3" fillId="0" borderId="0" xfId="0" applyNumberFormat="1" applyFont="1" applyFill="1" applyBorder="1" applyAlignment="1">
      <alignment horizontal="center" wrapText="1"/>
    </xf>
    <xf numFmtId="0" fontId="18" fillId="0" borderId="0" xfId="0" applyFont="1" applyFill="1" applyBorder="1" applyAlignment="1">
      <alignment wrapText="1"/>
    </xf>
    <xf numFmtId="172" fontId="2" fillId="0" borderId="0" xfId="0" applyNumberFormat="1" applyFont="1" applyFill="1" applyBorder="1" applyAlignment="1">
      <alignment horizontal="left"/>
    </xf>
    <xf numFmtId="172" fontId="0" fillId="0" borderId="0" xfId="0" applyNumberFormat="1" applyFill="1" applyBorder="1" applyAlignment="1">
      <alignment horizontal="left"/>
    </xf>
    <xf numFmtId="172" fontId="5" fillId="0" borderId="0" xfId="0" applyNumberFormat="1" applyFont="1" applyFill="1" applyBorder="1" applyAlignment="1">
      <alignment horizontal="center"/>
    </xf>
    <xf numFmtId="166" fontId="2" fillId="0" borderId="1" xfId="0" applyNumberFormat="1" applyFont="1" applyBorder="1" applyAlignment="1">
      <alignment horizontal="center"/>
    </xf>
    <xf numFmtId="0" fontId="8" fillId="0" borderId="1" xfId="0" applyFont="1" applyFill="1" applyBorder="1" applyAlignment="1"/>
    <xf numFmtId="166" fontId="2" fillId="0" borderId="1" xfId="0" applyNumberFormat="1" applyFont="1" applyFill="1" applyBorder="1" applyAlignment="1">
      <alignment horizontal="center"/>
    </xf>
    <xf numFmtId="172" fontId="2" fillId="0" borderId="1" xfId="0" applyNumberFormat="1" applyFont="1" applyFill="1" applyBorder="1" applyAlignment="1">
      <alignment horizontal="center"/>
    </xf>
    <xf numFmtId="0" fontId="8" fillId="0" borderId="9" xfId="0" applyFont="1" applyFill="1" applyBorder="1" applyAlignment="1"/>
    <xf numFmtId="166" fontId="2" fillId="0" borderId="9" xfId="0" applyNumberFormat="1" applyFont="1" applyFill="1" applyBorder="1" applyAlignment="1">
      <alignment horizontal="center"/>
    </xf>
    <xf numFmtId="172" fontId="2" fillId="0" borderId="9" xfId="0" applyNumberFormat="1" applyFont="1" applyFill="1" applyBorder="1" applyAlignment="1">
      <alignment horizontal="center"/>
    </xf>
    <xf numFmtId="0" fontId="2" fillId="32" borderId="0" xfId="0" applyFont="1" applyFill="1" applyBorder="1"/>
    <xf numFmtId="0" fontId="0" fillId="32" borderId="0" xfId="0" applyFill="1" applyBorder="1" applyAlignment="1">
      <alignment horizontal="left"/>
    </xf>
    <xf numFmtId="166" fontId="0" fillId="32" borderId="0" xfId="0" applyNumberFormat="1" applyFill="1" applyBorder="1" applyAlignment="1">
      <alignment horizontal="center"/>
    </xf>
    <xf numFmtId="166" fontId="2" fillId="32" borderId="0" xfId="0" applyNumberFormat="1" applyFont="1" applyFill="1" applyAlignment="1">
      <alignment horizontal="center"/>
    </xf>
    <xf numFmtId="172" fontId="0" fillId="32" borderId="0" xfId="0" applyNumberFormat="1" applyFill="1" applyBorder="1" applyAlignment="1">
      <alignment horizontal="center"/>
    </xf>
    <xf numFmtId="0" fontId="2" fillId="32" borderId="0" xfId="0" applyFont="1" applyFill="1" applyBorder="1" applyAlignment="1">
      <alignment horizontal="left"/>
    </xf>
    <xf numFmtId="166" fontId="2" fillId="32" borderId="0" xfId="0" applyNumberFormat="1" applyFont="1" applyFill="1" applyBorder="1" applyAlignment="1">
      <alignment horizontal="center"/>
    </xf>
    <xf numFmtId="172" fontId="2" fillId="32" borderId="0" xfId="0" applyNumberFormat="1" applyFont="1" applyFill="1" applyBorder="1" applyAlignment="1">
      <alignment horizontal="center"/>
    </xf>
    <xf numFmtId="0" fontId="2" fillId="32" borderId="11" xfId="0" applyFont="1" applyFill="1" applyBorder="1"/>
    <xf numFmtId="0" fontId="3" fillId="0" borderId="19" xfId="0" applyFont="1" applyFill="1" applyBorder="1" applyAlignment="1">
      <alignment horizontal="center" vertical="center" wrapText="1"/>
    </xf>
    <xf numFmtId="167" fontId="0" fillId="0" borderId="12" xfId="0" applyNumberFormat="1" applyFill="1" applyBorder="1"/>
    <xf numFmtId="167" fontId="2" fillId="0" borderId="12" xfId="0" applyNumberFormat="1" applyFont="1" applyFill="1" applyBorder="1"/>
    <xf numFmtId="167" fontId="0" fillId="0" borderId="14" xfId="0" applyNumberFormat="1" applyFill="1" applyBorder="1"/>
    <xf numFmtId="167" fontId="0" fillId="0" borderId="10" xfId="0" applyNumberFormat="1" applyFill="1" applyBorder="1"/>
    <xf numFmtId="167" fontId="2" fillId="0" borderId="14" xfId="0" applyNumberFormat="1" applyFont="1" applyFill="1" applyBorder="1"/>
    <xf numFmtId="167" fontId="2" fillId="32" borderId="12" xfId="0" applyNumberFormat="1" applyFont="1" applyFill="1" applyBorder="1"/>
    <xf numFmtId="0" fontId="3" fillId="0" borderId="18" xfId="0" applyFont="1" applyFill="1" applyBorder="1"/>
    <xf numFmtId="0" fontId="2" fillId="0" borderId="18" xfId="0" applyFont="1" applyFill="1" applyBorder="1"/>
    <xf numFmtId="2" fontId="0" fillId="0" borderId="18" xfId="0" applyNumberFormat="1" applyFill="1" applyBorder="1" applyAlignment="1">
      <alignment horizontal="center"/>
    </xf>
    <xf numFmtId="2" fontId="0" fillId="0" borderId="18" xfId="0" applyNumberFormat="1" applyFill="1" applyBorder="1"/>
    <xf numFmtId="166" fontId="0" fillId="0" borderId="0" xfId="0" applyNumberFormat="1" applyFill="1" applyBorder="1"/>
    <xf numFmtId="166" fontId="0" fillId="0" borderId="16" xfId="0" applyNumberFormat="1" applyFill="1" applyBorder="1"/>
    <xf numFmtId="2" fontId="0" fillId="0" borderId="16" xfId="0" applyNumberFormat="1" applyFill="1" applyBorder="1"/>
    <xf numFmtId="2" fontId="0" fillId="0" borderId="6" xfId="0" applyNumberFormat="1" applyFill="1" applyBorder="1"/>
    <xf numFmtId="2" fontId="0" fillId="0" borderId="7" xfId="0" applyNumberFormat="1" applyFill="1" applyBorder="1"/>
    <xf numFmtId="2" fontId="0" fillId="0" borderId="0" xfId="0" applyNumberFormat="1" applyFill="1" applyAlignment="1">
      <alignment horizontal="right"/>
    </xf>
    <xf numFmtId="2" fontId="2" fillId="10" borderId="30" xfId="0" applyNumberFormat="1" applyFont="1" applyFill="1" applyBorder="1"/>
    <xf numFmtId="10" fontId="0" fillId="0" borderId="1" xfId="2" applyNumberFormat="1" applyFont="1" applyBorder="1" applyAlignment="1">
      <alignment horizontal="center"/>
    </xf>
    <xf numFmtId="0" fontId="0" fillId="0" borderId="13" xfId="0" applyBorder="1"/>
    <xf numFmtId="0" fontId="0" fillId="5" borderId="13" xfId="0" applyFill="1" applyBorder="1" applyAlignment="1">
      <alignment horizontal="center"/>
    </xf>
    <xf numFmtId="166" fontId="2" fillId="0" borderId="0" xfId="0" applyNumberFormat="1" applyFont="1" applyBorder="1" applyAlignment="1">
      <alignment horizontal="center"/>
    </xf>
    <xf numFmtId="172" fontId="0" fillId="0" borderId="0" xfId="0" applyNumberFormat="1" applyBorder="1" applyAlignment="1">
      <alignment horizontal="center"/>
    </xf>
    <xf numFmtId="0" fontId="0" fillId="11" borderId="17" xfId="0" applyFill="1" applyBorder="1" applyAlignment="1">
      <alignment horizontal="left"/>
    </xf>
    <xf numFmtId="167" fontId="0" fillId="0" borderId="9" xfId="0" applyNumberFormat="1" applyBorder="1" applyAlignment="1">
      <alignment horizontal="center"/>
    </xf>
    <xf numFmtId="10" fontId="0" fillId="0" borderId="10" xfId="2" applyNumberFormat="1" applyFont="1" applyBorder="1" applyAlignment="1">
      <alignment horizontal="center"/>
    </xf>
    <xf numFmtId="0" fontId="0" fillId="0" borderId="9" xfId="0" applyBorder="1" applyAlignment="1">
      <alignment horizontal="left"/>
    </xf>
    <xf numFmtId="166" fontId="0" fillId="0" borderId="9" xfId="0" applyNumberFormat="1" applyBorder="1" applyAlignment="1">
      <alignment horizontal="center"/>
    </xf>
    <xf numFmtId="166" fontId="2" fillId="0" borderId="9" xfId="0" applyNumberFormat="1" applyFont="1" applyBorder="1" applyAlignment="1">
      <alignment horizontal="center"/>
    </xf>
    <xf numFmtId="172" fontId="0" fillId="0" borderId="9" xfId="0" applyNumberFormat="1" applyBorder="1" applyAlignment="1">
      <alignment horizontal="center"/>
    </xf>
    <xf numFmtId="1" fontId="8" fillId="27" borderId="17" xfId="0" applyNumberFormat="1" applyFont="1" applyFill="1" applyBorder="1"/>
    <xf numFmtId="0" fontId="0" fillId="0" borderId="16" xfId="0" applyBorder="1"/>
    <xf numFmtId="167" fontId="0" fillId="0" borderId="6" xfId="0" applyNumberFormat="1" applyBorder="1"/>
    <xf numFmtId="0" fontId="0" fillId="0" borderId="6" xfId="0" applyBorder="1"/>
    <xf numFmtId="0" fontId="0" fillId="0" borderId="7" xfId="0" applyBorder="1"/>
    <xf numFmtId="0" fontId="0" fillId="0" borderId="24" xfId="0" applyBorder="1"/>
    <xf numFmtId="0" fontId="3" fillId="0" borderId="23" xfId="0" applyFont="1" applyBorder="1" applyAlignment="1">
      <alignment horizontal="center" wrapText="1"/>
    </xf>
    <xf numFmtId="0" fontId="0" fillId="0" borderId="23" xfId="0" applyBorder="1"/>
    <xf numFmtId="0" fontId="3" fillId="0" borderId="41" xfId="0" applyFont="1" applyBorder="1"/>
    <xf numFmtId="0" fontId="2" fillId="0" borderId="42" xfId="0" applyFont="1" applyBorder="1"/>
    <xf numFmtId="0" fontId="2" fillId="0" borderId="43" xfId="0" applyFont="1" applyBorder="1"/>
    <xf numFmtId="167" fontId="0" fillId="0" borderId="44" xfId="0" applyNumberFormat="1" applyBorder="1"/>
    <xf numFmtId="0" fontId="0" fillId="0" borderId="45" xfId="0" applyBorder="1"/>
    <xf numFmtId="168" fontId="0" fillId="29" borderId="0" xfId="2" applyNumberFormat="1" applyFont="1" applyFill="1" applyBorder="1"/>
    <xf numFmtId="168" fontId="0" fillId="29" borderId="10" xfId="2" applyNumberFormat="1" applyFont="1" applyFill="1" applyBorder="1"/>
    <xf numFmtId="168" fontId="0" fillId="29" borderId="12" xfId="2" applyNumberFormat="1" applyFont="1" applyFill="1" applyBorder="1"/>
    <xf numFmtId="167" fontId="2" fillId="0" borderId="0" xfId="0" applyNumberFormat="1" applyFont="1" applyFill="1" applyAlignment="1">
      <alignment horizontal="right"/>
    </xf>
    <xf numFmtId="166" fontId="2" fillId="0" borderId="0" xfId="0" applyNumberFormat="1" applyFont="1" applyFill="1"/>
    <xf numFmtId="10" fontId="0" fillId="0" borderId="12" xfId="2" applyNumberFormat="1" applyFont="1" applyBorder="1" applyAlignment="1">
      <alignment horizontal="center"/>
    </xf>
    <xf numFmtId="166" fontId="8" fillId="0" borderId="9" xfId="0" applyNumberFormat="1" applyFont="1" applyBorder="1" applyAlignment="1">
      <alignment horizontal="right"/>
    </xf>
    <xf numFmtId="166" fontId="0" fillId="0" borderId="9" xfId="0" applyNumberFormat="1" applyBorder="1" applyAlignment="1">
      <alignment horizontal="right"/>
    </xf>
    <xf numFmtId="169" fontId="0" fillId="0" borderId="9" xfId="1" applyNumberFormat="1" applyFont="1" applyBorder="1"/>
    <xf numFmtId="0" fontId="8" fillId="11" borderId="17" xfId="0" applyFont="1" applyFill="1" applyBorder="1" applyAlignment="1"/>
    <xf numFmtId="0" fontId="26" fillId="11" borderId="17" xfId="0" applyFont="1" applyFill="1" applyBorder="1" applyAlignment="1"/>
    <xf numFmtId="170" fontId="8" fillId="11" borderId="17" xfId="0" applyNumberFormat="1" applyFont="1" applyFill="1" applyBorder="1" applyAlignment="1">
      <alignment horizontal="right"/>
    </xf>
    <xf numFmtId="1" fontId="0" fillId="0" borderId="0" xfId="0" applyNumberFormat="1" applyFill="1"/>
    <xf numFmtId="1" fontId="2" fillId="0" borderId="0" xfId="0" applyNumberFormat="1" applyFont="1" applyFill="1"/>
    <xf numFmtId="0" fontId="0" fillId="0" borderId="9" xfId="0" applyFill="1" applyBorder="1"/>
    <xf numFmtId="0" fontId="0" fillId="0" borderId="10" xfId="0" applyFill="1" applyBorder="1"/>
    <xf numFmtId="0" fontId="0" fillId="0" borderId="12" xfId="0" applyFill="1" applyBorder="1"/>
    <xf numFmtId="0" fontId="2" fillId="0" borderId="9" xfId="0" applyFont="1" applyFill="1" applyBorder="1" applyAlignment="1">
      <alignment horizontal="center"/>
    </xf>
    <xf numFmtId="167" fontId="0" fillId="0" borderId="9" xfId="0" applyNumberFormat="1" applyFill="1" applyBorder="1" applyAlignment="1">
      <alignment horizontal="center"/>
    </xf>
    <xf numFmtId="10" fontId="0" fillId="0" borderId="9" xfId="2" applyNumberFormat="1" applyFont="1" applyFill="1" applyBorder="1" applyAlignment="1">
      <alignment horizontal="center"/>
    </xf>
    <xf numFmtId="166" fontId="8" fillId="0" borderId="0" xfId="0" applyNumberFormat="1" applyFont="1" applyFill="1" applyBorder="1" applyAlignment="1">
      <alignment horizontal="right"/>
    </xf>
    <xf numFmtId="170" fontId="8" fillId="0" borderId="1" xfId="0" applyNumberFormat="1" applyFont="1" applyFill="1" applyBorder="1" applyAlignment="1">
      <alignment horizontal="right"/>
    </xf>
    <xf numFmtId="166" fontId="8" fillId="0" borderId="1" xfId="0" applyNumberFormat="1" applyFont="1" applyFill="1" applyBorder="1" applyAlignment="1">
      <alignment horizontal="right"/>
    </xf>
    <xf numFmtId="170" fontId="8" fillId="0" borderId="9" xfId="0" applyNumberFormat="1" applyFont="1" applyFill="1" applyBorder="1" applyAlignment="1">
      <alignment horizontal="right"/>
    </xf>
    <xf numFmtId="166" fontId="8" fillId="0" borderId="9" xfId="0" applyNumberFormat="1" applyFont="1" applyFill="1" applyBorder="1" applyAlignment="1">
      <alignment horizontal="right"/>
    </xf>
    <xf numFmtId="0" fontId="0" fillId="0" borderId="0" xfId="0" applyFill="1" applyBorder="1" applyAlignment="1">
      <alignment vertical="top"/>
    </xf>
    <xf numFmtId="0" fontId="3" fillId="0" borderId="45" xfId="0" applyFont="1" applyBorder="1"/>
    <xf numFmtId="0" fontId="3" fillId="0" borderId="46" xfId="0" applyFont="1" applyBorder="1"/>
    <xf numFmtId="0" fontId="3" fillId="0" borderId="0" xfId="0" applyFont="1" applyFill="1"/>
    <xf numFmtId="0" fontId="38" fillId="0" borderId="0" xfId="0" applyFont="1" applyFill="1"/>
    <xf numFmtId="174" fontId="38" fillId="0" borderId="0" xfId="0" applyNumberFormat="1" applyFont="1" applyFill="1"/>
    <xf numFmtId="0" fontId="0" fillId="9" borderId="0" xfId="0" applyFill="1" applyAlignment="1">
      <alignment horizontal="center"/>
    </xf>
    <xf numFmtId="0" fontId="5" fillId="0" borderId="20" xfId="0" applyFont="1" applyBorder="1"/>
    <xf numFmtId="0" fontId="5" fillId="0" borderId="21" xfId="0" applyFont="1" applyBorder="1"/>
    <xf numFmtId="0" fontId="0" fillId="5" borderId="8" xfId="0" applyFill="1" applyBorder="1" applyAlignment="1">
      <alignment horizontal="center"/>
    </xf>
    <xf numFmtId="0" fontId="3" fillId="0" borderId="18" xfId="0" applyFont="1" applyFill="1" applyBorder="1" applyAlignment="1">
      <alignment horizontal="center" vertical="center"/>
    </xf>
    <xf numFmtId="0" fontId="0" fillId="11" borderId="21" xfId="0" applyFill="1" applyBorder="1"/>
    <xf numFmtId="0" fontId="0" fillId="11" borderId="1" xfId="0" applyFill="1" applyBorder="1" applyAlignment="1">
      <alignment horizontal="center"/>
    </xf>
    <xf numFmtId="168" fontId="2" fillId="11" borderId="14" xfId="2" applyNumberFormat="1" applyFont="1" applyFill="1" applyBorder="1" applyAlignment="1">
      <alignment horizontal="center"/>
    </xf>
    <xf numFmtId="168" fontId="0" fillId="9" borderId="12" xfId="2" applyNumberFormat="1" applyFont="1" applyFill="1" applyBorder="1" applyAlignment="1">
      <alignment horizontal="center"/>
    </xf>
    <xf numFmtId="0" fontId="2" fillId="0" borderId="0" xfId="0" applyFont="1" applyBorder="1" applyAlignment="1">
      <alignment wrapText="1"/>
    </xf>
    <xf numFmtId="0" fontId="0" fillId="0" borderId="1" xfId="0" applyBorder="1" applyAlignment="1">
      <alignment wrapText="1"/>
    </xf>
    <xf numFmtId="0" fontId="2" fillId="0" borderId="0" xfId="0" applyFont="1" applyBorder="1" applyAlignment="1"/>
    <xf numFmtId="166" fontId="0" fillId="0" borderId="0" xfId="0" applyNumberFormat="1" applyBorder="1"/>
    <xf numFmtId="166" fontId="0" fillId="0" borderId="1" xfId="0" applyNumberFormat="1" applyBorder="1"/>
    <xf numFmtId="166" fontId="0" fillId="0" borderId="9" xfId="0" applyNumberFormat="1" applyBorder="1"/>
    <xf numFmtId="166" fontId="0" fillId="11" borderId="1" xfId="0" applyNumberFormat="1" applyFill="1" applyBorder="1"/>
    <xf numFmtId="0" fontId="3" fillId="0" borderId="18" xfId="0" applyFont="1" applyFill="1" applyBorder="1" applyAlignment="1">
      <alignment horizontal="center" wrapText="1"/>
    </xf>
    <xf numFmtId="0" fontId="3" fillId="0" borderId="1" xfId="0" applyFont="1" applyBorder="1"/>
    <xf numFmtId="3" fontId="3" fillId="0" borderId="1" xfId="0" applyNumberFormat="1" applyFont="1" applyBorder="1" applyAlignment="1">
      <alignment horizontal="center" wrapText="1"/>
    </xf>
    <xf numFmtId="0" fontId="3" fillId="0" borderId="1" xfId="0" applyFont="1" applyBorder="1" applyAlignment="1">
      <alignment horizontal="center"/>
    </xf>
    <xf numFmtId="0" fontId="2" fillId="0" borderId="12" xfId="0" applyFont="1" applyBorder="1" applyAlignment="1">
      <alignment horizontal="center"/>
    </xf>
    <xf numFmtId="0" fontId="17" fillId="0" borderId="9" xfId="0" applyFont="1" applyBorder="1" applyAlignment="1">
      <alignment horizontal="center"/>
    </xf>
    <xf numFmtId="0" fontId="0" fillId="0" borderId="1" xfId="0" applyBorder="1" applyAlignment="1">
      <alignment horizontal="center" wrapText="1"/>
    </xf>
    <xf numFmtId="2" fontId="0" fillId="0" borderId="1" xfId="0" applyNumberFormat="1" applyBorder="1" applyAlignment="1">
      <alignment horizontal="center" wrapText="1"/>
    </xf>
    <xf numFmtId="0" fontId="2" fillId="0" borderId="1" xfId="0" applyFont="1" applyBorder="1" applyAlignment="1">
      <alignment wrapText="1"/>
    </xf>
    <xf numFmtId="0" fontId="2" fillId="0" borderId="0" xfId="0" applyFont="1" applyFill="1" applyBorder="1" applyAlignment="1"/>
    <xf numFmtId="0" fontId="2" fillId="0" borderId="1" xfId="0" applyFont="1" applyFill="1" applyBorder="1" applyAlignment="1"/>
    <xf numFmtId="0" fontId="2" fillId="0" borderId="14" xfId="0" applyFont="1" applyBorder="1" applyAlignment="1">
      <alignment horizontal="center" wrapText="1"/>
    </xf>
    <xf numFmtId="3" fontId="0" fillId="22" borderId="0" xfId="0" applyNumberFormat="1" applyFill="1" applyBorder="1" applyAlignment="1">
      <alignment horizontal="center" wrapText="1"/>
    </xf>
    <xf numFmtId="0" fontId="0" fillId="22" borderId="0" xfId="0" applyFill="1" applyBorder="1" applyAlignment="1"/>
    <xf numFmtId="3" fontId="0" fillId="22" borderId="1" xfId="0" applyNumberFormat="1" applyFill="1" applyBorder="1" applyAlignment="1">
      <alignment horizontal="center" wrapText="1"/>
    </xf>
    <xf numFmtId="0" fontId="0" fillId="22" borderId="1" xfId="0" applyFill="1" applyBorder="1" applyAlignment="1">
      <alignment wrapText="1"/>
    </xf>
    <xf numFmtId="0" fontId="8" fillId="0" borderId="9" xfId="0" applyFont="1" applyBorder="1"/>
    <xf numFmtId="0" fontId="8" fillId="0" borderId="9" xfId="0" applyFont="1" applyBorder="1" applyAlignment="1">
      <alignment horizontal="center"/>
    </xf>
    <xf numFmtId="0" fontId="8" fillId="0" borderId="10" xfId="0" applyFont="1" applyBorder="1" applyAlignment="1">
      <alignment horizontal="center"/>
    </xf>
    <xf numFmtId="0" fontId="9" fillId="0" borderId="9" xfId="0" applyFont="1" applyBorder="1" applyAlignment="1">
      <alignment horizontal="center"/>
    </xf>
    <xf numFmtId="2" fontId="9" fillId="0" borderId="9" xfId="0" applyNumberFormat="1" applyFont="1" applyBorder="1" applyAlignment="1">
      <alignment horizontal="center"/>
    </xf>
    <xf numFmtId="3" fontId="9" fillId="0" borderId="9" xfId="0" applyNumberFormat="1" applyFont="1" applyBorder="1" applyAlignment="1">
      <alignment horizontal="center"/>
    </xf>
    <xf numFmtId="0" fontId="9" fillId="0" borderId="1" xfId="0" applyFont="1" applyBorder="1"/>
    <xf numFmtId="0" fontId="9" fillId="0" borderId="1" xfId="0" applyFont="1" applyBorder="1" applyAlignment="1">
      <alignment horizontal="center"/>
    </xf>
    <xf numFmtId="0" fontId="9" fillId="0" borderId="14" xfId="0" applyFont="1" applyBorder="1" applyAlignment="1">
      <alignment horizontal="center"/>
    </xf>
    <xf numFmtId="0" fontId="8" fillId="0" borderId="1" xfId="0" applyFont="1" applyBorder="1" applyAlignment="1">
      <alignment horizontal="center" wrapText="1"/>
    </xf>
    <xf numFmtId="2" fontId="9" fillId="0" borderId="1" xfId="0" applyNumberFormat="1" applyFont="1" applyBorder="1" applyAlignment="1">
      <alignment horizontal="center" wrapText="1"/>
    </xf>
    <xf numFmtId="0" fontId="2" fillId="0" borderId="12" xfId="0" applyFont="1" applyFill="1" applyBorder="1" applyAlignment="1">
      <alignment horizontal="center"/>
    </xf>
    <xf numFmtId="0" fontId="2" fillId="11" borderId="12" xfId="0" applyFont="1" applyFill="1" applyBorder="1" applyAlignment="1">
      <alignment horizontal="center"/>
    </xf>
    <xf numFmtId="2" fontId="2" fillId="0" borderId="12" xfId="0" applyNumberFormat="1" applyFont="1" applyBorder="1" applyAlignment="1">
      <alignment horizontal="center"/>
    </xf>
    <xf numFmtId="0" fontId="8" fillId="0" borderId="0" xfId="0" applyFont="1" applyAlignment="1">
      <alignment horizontal="center"/>
    </xf>
    <xf numFmtId="0" fontId="9" fillId="0" borderId="0" xfId="0" applyFont="1" applyBorder="1"/>
    <xf numFmtId="0" fontId="9" fillId="0" borderId="0" xfId="0" applyFont="1" applyFill="1"/>
    <xf numFmtId="4" fontId="2" fillId="0" borderId="0" xfId="0" applyNumberFormat="1" applyFont="1" applyFill="1" applyBorder="1" applyAlignment="1">
      <alignment horizontal="center"/>
    </xf>
    <xf numFmtId="0" fontId="5" fillId="0" borderId="0" xfId="0" applyFont="1" applyBorder="1" applyAlignment="1">
      <alignment horizontal="center"/>
    </xf>
    <xf numFmtId="0" fontId="5" fillId="0" borderId="12" xfId="0" applyFont="1" applyBorder="1" applyAlignment="1">
      <alignment horizontal="center"/>
    </xf>
    <xf numFmtId="0" fontId="5" fillId="0" borderId="1" xfId="0" applyFont="1" applyBorder="1" applyAlignment="1">
      <alignment horizontal="center"/>
    </xf>
    <xf numFmtId="0" fontId="5" fillId="0" borderId="14" xfId="0" applyFont="1" applyBorder="1" applyAlignment="1">
      <alignment horizontal="center"/>
    </xf>
    <xf numFmtId="0" fontId="2" fillId="0" borderId="10" xfId="0" applyFont="1" applyBorder="1"/>
    <xf numFmtId="0" fontId="3" fillId="0" borderId="14" xfId="0" applyFont="1" applyBorder="1"/>
    <xf numFmtId="0" fontId="2" fillId="0" borderId="12" xfId="0" applyFont="1" applyFill="1" applyBorder="1"/>
    <xf numFmtId="0" fontId="5" fillId="0" borderId="0" xfId="0" applyFont="1" applyFill="1" applyBorder="1"/>
    <xf numFmtId="0" fontId="16" fillId="0" borderId="0" xfId="0" applyFont="1" applyFill="1" applyBorder="1" applyAlignment="1">
      <alignment horizontal="center" vertical="center"/>
    </xf>
    <xf numFmtId="0" fontId="2" fillId="13" borderId="0" xfId="0" applyFont="1" applyFill="1" applyBorder="1"/>
    <xf numFmtId="0" fontId="9" fillId="0" borderId="0" xfId="0" applyFont="1" applyFill="1" applyBorder="1" applyAlignment="1">
      <alignment horizontal="left"/>
    </xf>
    <xf numFmtId="0" fontId="40" fillId="0" borderId="0" xfId="0" applyFont="1" applyBorder="1" applyAlignment="1">
      <alignment horizontal="center"/>
    </xf>
    <xf numFmtId="0" fontId="9" fillId="0" borderId="0" xfId="0" applyFont="1" applyBorder="1" applyAlignment="1">
      <alignment horizontal="center"/>
    </xf>
    <xf numFmtId="0" fontId="8" fillId="11" borderId="0" xfId="0" applyFont="1" applyFill="1" applyAlignment="1">
      <alignment horizontal="left"/>
    </xf>
    <xf numFmtId="0" fontId="8" fillId="14" borderId="0" xfId="0" applyFont="1" applyFill="1"/>
    <xf numFmtId="0" fontId="8" fillId="13" borderId="0" xfId="0" applyFont="1" applyFill="1" applyAlignment="1">
      <alignment horizontal="left"/>
    </xf>
    <xf numFmtId="2" fontId="0" fillId="0" borderId="9" xfId="0" applyNumberFormat="1" applyFill="1" applyBorder="1"/>
    <xf numFmtId="166" fontId="0" fillId="0" borderId="9" xfId="2" applyNumberFormat="1" applyFont="1" applyFill="1" applyBorder="1"/>
    <xf numFmtId="0" fontId="3" fillId="0" borderId="37" xfId="0" applyFont="1" applyFill="1" applyBorder="1"/>
    <xf numFmtId="0" fontId="0" fillId="0" borderId="17" xfId="0" applyFill="1" applyBorder="1"/>
    <xf numFmtId="0" fontId="0" fillId="0" borderId="19" xfId="0" applyFill="1" applyBorder="1"/>
    <xf numFmtId="0" fontId="2" fillId="0" borderId="37" xfId="0" applyFont="1" applyFill="1" applyBorder="1"/>
    <xf numFmtId="0" fontId="2" fillId="0" borderId="19" xfId="0" applyFont="1" applyFill="1" applyBorder="1"/>
    <xf numFmtId="167" fontId="2" fillId="0" borderId="10" xfId="0" applyNumberFormat="1" applyFont="1" applyFill="1" applyBorder="1"/>
    <xf numFmtId="0" fontId="0" fillId="0" borderId="1" xfId="0" applyFill="1" applyBorder="1"/>
    <xf numFmtId="0" fontId="0" fillId="0" borderId="14" xfId="0" applyFill="1" applyBorder="1"/>
    <xf numFmtId="0" fontId="3" fillId="32" borderId="1" xfId="0" applyFont="1" applyFill="1" applyBorder="1"/>
    <xf numFmtId="166" fontId="0" fillId="32" borderId="0" xfId="0" applyNumberFormat="1" applyFill="1"/>
    <xf numFmtId="2" fontId="0" fillId="32" borderId="0" xfId="0" applyNumberFormat="1" applyFill="1"/>
    <xf numFmtId="0" fontId="3" fillId="0" borderId="17" xfId="0" applyFont="1" applyFill="1" applyBorder="1" applyAlignment="1">
      <alignment horizontal="center" wrapText="1"/>
    </xf>
    <xf numFmtId="0" fontId="3" fillId="0" borderId="19" xfId="0" applyFont="1" applyFill="1" applyBorder="1" applyAlignment="1">
      <alignment horizontal="center" wrapText="1"/>
    </xf>
    <xf numFmtId="2" fontId="2" fillId="0" borderId="12" xfId="0" applyNumberFormat="1" applyFont="1" applyFill="1" applyBorder="1" applyAlignment="1">
      <alignment horizontal="center"/>
    </xf>
    <xf numFmtId="2" fontId="2" fillId="0" borderId="17" xfId="0" applyNumberFormat="1" applyFont="1" applyFill="1" applyBorder="1" applyAlignment="1">
      <alignment horizontal="center"/>
    </xf>
    <xf numFmtId="2" fontId="2" fillId="0" borderId="19" xfId="0" applyNumberFormat="1" applyFont="1" applyFill="1" applyBorder="1" applyAlignment="1">
      <alignment horizontal="center"/>
    </xf>
    <xf numFmtId="170" fontId="0" fillId="0" borderId="17" xfId="0" applyNumberFormat="1" applyBorder="1" applyAlignment="1">
      <alignment horizontal="center"/>
    </xf>
    <xf numFmtId="0" fontId="2" fillId="0" borderId="17" xfId="0" applyFont="1" applyBorder="1" applyAlignment="1">
      <alignment horizontal="left"/>
    </xf>
    <xf numFmtId="0" fontId="2" fillId="2" borderId="2" xfId="0" applyFont="1" applyFill="1" applyBorder="1" applyAlignment="1">
      <alignment vertical="top" wrapText="1"/>
    </xf>
    <xf numFmtId="0" fontId="2" fillId="2" borderId="4" xfId="0" applyFont="1" applyFill="1" applyBorder="1" applyAlignment="1">
      <alignment vertical="top" wrapText="1"/>
    </xf>
    <xf numFmtId="0" fontId="2" fillId="2" borderId="15" xfId="0" applyFont="1" applyFill="1" applyBorder="1" applyAlignment="1">
      <alignment vertical="top" wrapText="1"/>
    </xf>
    <xf numFmtId="0" fontId="2" fillId="2" borderId="16" xfId="0" applyFont="1" applyFill="1" applyBorder="1" applyAlignment="1">
      <alignment vertical="top" wrapText="1"/>
    </xf>
    <xf numFmtId="0" fontId="2" fillId="2" borderId="5" xfId="0" applyFont="1" applyFill="1" applyBorder="1" applyAlignment="1">
      <alignment vertical="top" wrapText="1"/>
    </xf>
    <xf numFmtId="0" fontId="2" fillId="2" borderId="7" xfId="0" applyFont="1" applyFill="1" applyBorder="1" applyAlignment="1">
      <alignment vertical="top" wrapText="1"/>
    </xf>
    <xf numFmtId="0" fontId="2" fillId="4" borderId="2" xfId="0" applyFont="1" applyFill="1" applyBorder="1" applyAlignment="1">
      <alignment wrapText="1"/>
    </xf>
    <xf numFmtId="0" fontId="2" fillId="4" borderId="3" xfId="0" applyFont="1" applyFill="1" applyBorder="1" applyAlignment="1">
      <alignment wrapText="1"/>
    </xf>
    <xf numFmtId="0" fontId="2" fillId="4" borderId="4" xfId="0" applyFont="1" applyFill="1" applyBorder="1" applyAlignment="1">
      <alignment wrapText="1"/>
    </xf>
    <xf numFmtId="0" fontId="2" fillId="4" borderId="15" xfId="0" applyFont="1" applyFill="1" applyBorder="1" applyAlignment="1">
      <alignment wrapText="1"/>
    </xf>
    <xf numFmtId="0" fontId="2" fillId="4" borderId="0" xfId="0" applyFont="1" applyFill="1" applyBorder="1" applyAlignment="1">
      <alignment wrapText="1"/>
    </xf>
    <xf numFmtId="0" fontId="2" fillId="4" borderId="16" xfId="0" applyFont="1" applyFill="1" applyBorder="1" applyAlignment="1">
      <alignment wrapText="1"/>
    </xf>
    <xf numFmtId="0" fontId="2" fillId="4" borderId="5" xfId="0" applyFont="1" applyFill="1" applyBorder="1" applyAlignment="1">
      <alignment wrapText="1"/>
    </xf>
    <xf numFmtId="0" fontId="2" fillId="4" borderId="6" xfId="0" applyFont="1" applyFill="1" applyBorder="1" applyAlignment="1">
      <alignment wrapText="1"/>
    </xf>
    <xf numFmtId="0" fontId="2" fillId="4" borderId="7"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4" borderId="7" xfId="0" applyFill="1" applyBorder="1" applyAlignment="1">
      <alignment wrapText="1"/>
    </xf>
    <xf numFmtId="0" fontId="6" fillId="4" borderId="2" xfId="0" applyFont="1" applyFill="1" applyBorder="1" applyAlignment="1">
      <alignment wrapText="1"/>
    </xf>
    <xf numFmtId="0" fontId="6" fillId="4" borderId="3" xfId="0" applyFont="1" applyFill="1" applyBorder="1" applyAlignment="1">
      <alignment wrapText="1"/>
    </xf>
    <xf numFmtId="0" fontId="6" fillId="4" borderId="4" xfId="0" applyFont="1" applyFill="1" applyBorder="1" applyAlignment="1">
      <alignment wrapText="1"/>
    </xf>
    <xf numFmtId="0" fontId="6" fillId="4" borderId="15" xfId="0" applyFont="1" applyFill="1" applyBorder="1" applyAlignment="1">
      <alignment wrapText="1"/>
    </xf>
    <xf numFmtId="0" fontId="6" fillId="4" borderId="0" xfId="0" applyFont="1" applyFill="1" applyBorder="1" applyAlignment="1">
      <alignment wrapText="1"/>
    </xf>
    <xf numFmtId="0" fontId="6" fillId="4" borderId="16" xfId="0" applyFont="1" applyFill="1" applyBorder="1" applyAlignment="1">
      <alignment wrapText="1"/>
    </xf>
    <xf numFmtId="0" fontId="6" fillId="4" borderId="5" xfId="0" applyFont="1" applyFill="1" applyBorder="1" applyAlignment="1">
      <alignment wrapText="1"/>
    </xf>
    <xf numFmtId="0" fontId="6" fillId="4" borderId="6" xfId="0" applyFont="1" applyFill="1" applyBorder="1" applyAlignment="1">
      <alignment wrapText="1"/>
    </xf>
    <xf numFmtId="0" fontId="6" fillId="4" borderId="7" xfId="0" applyFont="1" applyFill="1" applyBorder="1" applyAlignment="1">
      <alignment wrapText="1"/>
    </xf>
    <xf numFmtId="0" fontId="2" fillId="4" borderId="2" xfId="0" applyFont="1" applyFill="1" applyBorder="1" applyAlignment="1">
      <alignment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15" xfId="0" applyFill="1" applyBorder="1" applyAlignment="1">
      <alignment vertical="top" wrapText="1"/>
    </xf>
    <xf numFmtId="0" fontId="0" fillId="4" borderId="0" xfId="0" applyFill="1" applyBorder="1" applyAlignment="1">
      <alignment vertical="top" wrapText="1"/>
    </xf>
    <xf numFmtId="0" fontId="0" fillId="4" borderId="16" xfId="0" applyFill="1" applyBorder="1" applyAlignment="1">
      <alignment vertical="top"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15" xfId="0" applyFill="1" applyBorder="1" applyAlignment="1">
      <alignment wrapText="1"/>
    </xf>
    <xf numFmtId="0" fontId="0" fillId="4" borderId="0" xfId="0" applyFill="1" applyBorder="1" applyAlignment="1">
      <alignment wrapText="1"/>
    </xf>
    <xf numFmtId="0" fontId="0" fillId="4" borderId="16" xfId="0" applyFill="1" applyBorder="1" applyAlignment="1">
      <alignment wrapText="1"/>
    </xf>
    <xf numFmtId="0" fontId="8" fillId="4" borderId="2" xfId="0" applyFont="1" applyFill="1" applyBorder="1" applyAlignment="1">
      <alignment vertical="top" wrapText="1"/>
    </xf>
    <xf numFmtId="0" fontId="8" fillId="4" borderId="3" xfId="0" applyFont="1" applyFill="1" applyBorder="1" applyAlignment="1">
      <alignment vertical="top" wrapText="1"/>
    </xf>
    <xf numFmtId="0" fontId="8" fillId="4" borderId="4" xfId="0" applyFont="1" applyFill="1" applyBorder="1" applyAlignment="1">
      <alignment vertical="top" wrapText="1"/>
    </xf>
    <xf numFmtId="0" fontId="8" fillId="4" borderId="15" xfId="0" applyFont="1" applyFill="1" applyBorder="1" applyAlignment="1">
      <alignment vertical="top" wrapText="1"/>
    </xf>
    <xf numFmtId="0" fontId="8" fillId="4" borderId="0" xfId="0" applyFont="1" applyFill="1" applyBorder="1" applyAlignment="1">
      <alignment vertical="top" wrapText="1"/>
    </xf>
    <xf numFmtId="0" fontId="8" fillId="4" borderId="16" xfId="0" applyFont="1" applyFill="1" applyBorder="1" applyAlignment="1">
      <alignment vertical="top" wrapText="1"/>
    </xf>
    <xf numFmtId="0" fontId="8" fillId="4" borderId="5" xfId="0" applyFont="1" applyFill="1" applyBorder="1" applyAlignment="1">
      <alignment vertical="top" wrapText="1"/>
    </xf>
    <xf numFmtId="0" fontId="8" fillId="4" borderId="6" xfId="0" applyFont="1" applyFill="1" applyBorder="1" applyAlignment="1">
      <alignment vertical="top" wrapText="1"/>
    </xf>
    <xf numFmtId="0" fontId="8" fillId="4" borderId="7" xfId="0" applyFont="1" applyFill="1" applyBorder="1" applyAlignment="1">
      <alignmen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5" xfId="0" applyFont="1" applyBorder="1" applyAlignment="1">
      <alignment wrapText="1"/>
    </xf>
    <xf numFmtId="0" fontId="2" fillId="0" borderId="0"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3" xfId="0" applyFont="1" applyBorder="1" applyAlignment="1"/>
    <xf numFmtId="0" fontId="0" fillId="0" borderId="23" xfId="0" applyBorder="1" applyAlignment="1"/>
    <xf numFmtId="0" fontId="0" fillId="0" borderId="24" xfId="0" applyBorder="1" applyAlignment="1"/>
    <xf numFmtId="0" fontId="2" fillId="0" borderId="0" xfId="0" applyFont="1" applyBorder="1" applyAlignment="1"/>
    <xf numFmtId="0" fontId="0" fillId="0" borderId="0" xfId="0" applyBorder="1" applyAlignment="1"/>
    <xf numFmtId="0" fontId="0" fillId="0" borderId="16" xfId="0" applyBorder="1" applyAlignment="1"/>
    <xf numFmtId="0" fontId="2" fillId="0" borderId="6" xfId="0" applyFont="1" applyBorder="1" applyAlignment="1"/>
    <xf numFmtId="0" fontId="0" fillId="0" borderId="6" xfId="0" applyBorder="1" applyAlignment="1"/>
    <xf numFmtId="0" fontId="0" fillId="0" borderId="7" xfId="0" applyBorder="1" applyAlignment="1"/>
    <xf numFmtId="0" fontId="2" fillId="10" borderId="2" xfId="0" applyFont="1" applyFill="1" applyBorder="1" applyAlignment="1">
      <alignment wrapText="1"/>
    </xf>
    <xf numFmtId="0" fontId="2" fillId="10" borderId="3" xfId="0" applyFont="1" applyFill="1" applyBorder="1" applyAlignment="1">
      <alignment wrapText="1"/>
    </xf>
    <xf numFmtId="0" fontId="2" fillId="10" borderId="4" xfId="0" applyFont="1" applyFill="1" applyBorder="1" applyAlignment="1">
      <alignment wrapText="1"/>
    </xf>
    <xf numFmtId="0" fontId="2" fillId="10" borderId="15" xfId="0" applyFont="1" applyFill="1" applyBorder="1" applyAlignment="1">
      <alignment wrapText="1"/>
    </xf>
    <xf numFmtId="0" fontId="2" fillId="10" borderId="0" xfId="0" applyFont="1" applyFill="1" applyBorder="1" applyAlignment="1">
      <alignment wrapText="1"/>
    </xf>
    <xf numFmtId="0" fontId="2" fillId="10" borderId="16" xfId="0" applyFont="1" applyFill="1" applyBorder="1" applyAlignment="1">
      <alignment wrapText="1"/>
    </xf>
    <xf numFmtId="0" fontId="0" fillId="0" borderId="15"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2" fillId="29" borderId="8" xfId="0" applyFont="1" applyFill="1" applyBorder="1" applyAlignment="1">
      <alignment vertical="top" wrapText="1"/>
    </xf>
    <xf numFmtId="0" fontId="0" fillId="29" borderId="9" xfId="0" applyFill="1" applyBorder="1" applyAlignment="1">
      <alignment vertical="top" wrapText="1"/>
    </xf>
    <xf numFmtId="0" fontId="0" fillId="29" borderId="10" xfId="0" applyFill="1" applyBorder="1" applyAlignment="1">
      <alignment vertical="top" wrapText="1"/>
    </xf>
    <xf numFmtId="0" fontId="0" fillId="29" borderId="11" xfId="0" applyFill="1" applyBorder="1" applyAlignment="1">
      <alignment vertical="top" wrapText="1"/>
    </xf>
    <xf numFmtId="0" fontId="0" fillId="29" borderId="0" xfId="0" applyFill="1" applyBorder="1" applyAlignment="1">
      <alignment vertical="top" wrapText="1"/>
    </xf>
    <xf numFmtId="0" fontId="0" fillId="29" borderId="12" xfId="0" applyFill="1" applyBorder="1" applyAlignment="1">
      <alignment vertical="top" wrapText="1"/>
    </xf>
    <xf numFmtId="0" fontId="0" fillId="29" borderId="13" xfId="0" applyFill="1" applyBorder="1" applyAlignment="1">
      <alignment vertical="top" wrapText="1"/>
    </xf>
    <xf numFmtId="0" fontId="0" fillId="29" borderId="1" xfId="0" applyFill="1" applyBorder="1" applyAlignment="1">
      <alignment vertical="top" wrapText="1"/>
    </xf>
    <xf numFmtId="0" fontId="0" fillId="29" borderId="14" xfId="0" applyFill="1" applyBorder="1" applyAlignment="1">
      <alignment vertical="top" wrapText="1"/>
    </xf>
    <xf numFmtId="0" fontId="2" fillId="4"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15" xfId="0" applyFill="1" applyBorder="1" applyAlignment="1">
      <alignment horizontal="left" vertical="top" wrapText="1"/>
    </xf>
    <xf numFmtId="0" fontId="0" fillId="4" borderId="0" xfId="0" applyFill="1" applyBorder="1" applyAlignment="1">
      <alignment horizontal="left" vertical="top" wrapText="1"/>
    </xf>
    <xf numFmtId="0" fontId="0" fillId="4" borderId="16"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166" fontId="2" fillId="0" borderId="0" xfId="0" applyNumberFormat="1" applyFont="1" applyFill="1" applyAlignment="1">
      <alignment horizontal="center"/>
    </xf>
    <xf numFmtId="166" fontId="2" fillId="0" borderId="12" xfId="0" applyNumberFormat="1" applyFont="1" applyFill="1" applyBorder="1" applyAlignment="1">
      <alignment horizontal="center"/>
    </xf>
    <xf numFmtId="0" fontId="8" fillId="29" borderId="2" xfId="0" applyFont="1" applyFill="1" applyBorder="1" applyAlignment="1">
      <alignment horizontal="left" vertical="top" wrapText="1"/>
    </xf>
    <xf numFmtId="0" fontId="2" fillId="29" borderId="3" xfId="0" applyFont="1" applyFill="1" applyBorder="1" applyAlignment="1">
      <alignment wrapText="1"/>
    </xf>
    <xf numFmtId="0" fontId="2" fillId="29" borderId="4" xfId="0" applyFont="1" applyFill="1" applyBorder="1" applyAlignment="1">
      <alignment wrapText="1"/>
    </xf>
    <xf numFmtId="0" fontId="2" fillId="29" borderId="5" xfId="0" applyFont="1" applyFill="1" applyBorder="1" applyAlignment="1">
      <alignment wrapText="1"/>
    </xf>
    <xf numFmtId="0" fontId="2" fillId="29" borderId="6" xfId="0" applyFont="1" applyFill="1" applyBorder="1" applyAlignment="1">
      <alignment wrapText="1"/>
    </xf>
    <xf numFmtId="0" fontId="2" fillId="29" borderId="7" xfId="0" applyFont="1" applyFill="1" applyBorder="1" applyAlignment="1">
      <alignment wrapText="1"/>
    </xf>
    <xf numFmtId="0" fontId="2" fillId="29" borderId="8" xfId="0" applyFont="1" applyFill="1" applyBorder="1" applyAlignment="1">
      <alignment wrapText="1"/>
    </xf>
    <xf numFmtId="0" fontId="2" fillId="29" borderId="9" xfId="0" applyFont="1" applyFill="1" applyBorder="1" applyAlignment="1">
      <alignment wrapText="1"/>
    </xf>
    <xf numFmtId="0" fontId="2" fillId="29" borderId="10" xfId="0" applyFont="1" applyFill="1" applyBorder="1" applyAlignment="1">
      <alignment wrapText="1"/>
    </xf>
    <xf numFmtId="0" fontId="2" fillId="29" borderId="11" xfId="0" applyFont="1" applyFill="1" applyBorder="1" applyAlignment="1">
      <alignment wrapText="1"/>
    </xf>
    <xf numFmtId="0" fontId="2" fillId="29" borderId="0" xfId="0" applyFont="1" applyFill="1" applyBorder="1" applyAlignment="1">
      <alignment wrapText="1"/>
    </xf>
    <xf numFmtId="0" fontId="2" fillId="29" borderId="12" xfId="0" applyFont="1" applyFill="1" applyBorder="1" applyAlignment="1">
      <alignment wrapText="1"/>
    </xf>
    <xf numFmtId="0" fontId="2" fillId="29" borderId="13" xfId="0" applyFont="1" applyFill="1" applyBorder="1" applyAlignment="1">
      <alignment wrapText="1"/>
    </xf>
    <xf numFmtId="0" fontId="2" fillId="29" borderId="1" xfId="0" applyFont="1" applyFill="1" applyBorder="1" applyAlignment="1">
      <alignment wrapText="1"/>
    </xf>
    <xf numFmtId="0" fontId="2" fillId="29" borderId="14" xfId="0" applyFont="1" applyFill="1" applyBorder="1" applyAlignment="1">
      <alignment wrapText="1"/>
    </xf>
    <xf numFmtId="0" fontId="3" fillId="4" borderId="37" xfId="0" applyFont="1" applyFill="1" applyBorder="1"/>
    <xf numFmtId="0" fontId="3" fillId="4" borderId="17" xfId="0" applyFont="1" applyFill="1" applyBorder="1"/>
    <xf numFmtId="0" fontId="3" fillId="4" borderId="19" xfId="0" applyFont="1" applyFill="1" applyBorder="1"/>
    <xf numFmtId="0" fontId="2" fillId="0" borderId="8" xfId="0" applyFont="1" applyBorder="1" applyAlignment="1">
      <alignment horizontal="left"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13" xfId="0" applyFont="1" applyBorder="1" applyAlignment="1">
      <alignment horizontal="left" wrapText="1"/>
    </xf>
    <xf numFmtId="0" fontId="2" fillId="0" borderId="1" xfId="0" applyFont="1" applyBorder="1" applyAlignment="1">
      <alignment horizontal="left" wrapText="1"/>
    </xf>
    <xf numFmtId="0" fontId="2" fillId="0" borderId="14" xfId="0" applyFont="1" applyBorder="1" applyAlignment="1">
      <alignment horizontal="left" wrapText="1"/>
    </xf>
    <xf numFmtId="0" fontId="2" fillId="0" borderId="11" xfId="0" applyFont="1" applyBorder="1" applyAlignment="1">
      <alignment wrapText="1"/>
    </xf>
    <xf numFmtId="0" fontId="2" fillId="0" borderId="12" xfId="0" applyFont="1" applyBorder="1" applyAlignment="1">
      <alignment wrapText="1"/>
    </xf>
    <xf numFmtId="0" fontId="2" fillId="29" borderId="8" xfId="0" applyFont="1" applyFill="1" applyBorder="1" applyAlignment="1">
      <alignment horizontal="left" wrapText="1"/>
    </xf>
    <xf numFmtId="0" fontId="0" fillId="0" borderId="9"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 xfId="0" applyBorder="1" applyAlignment="1">
      <alignment wrapText="1"/>
    </xf>
    <xf numFmtId="0" fontId="0" fillId="0" borderId="14" xfId="0" applyBorder="1" applyAlignment="1">
      <alignment wrapText="1"/>
    </xf>
    <xf numFmtId="0" fontId="2" fillId="10" borderId="8" xfId="0" applyFont="1" applyFill="1" applyBorder="1" applyAlignment="1">
      <alignment wrapText="1"/>
    </xf>
    <xf numFmtId="0" fontId="2" fillId="10" borderId="9" xfId="0" applyFont="1" applyFill="1" applyBorder="1" applyAlignment="1">
      <alignment wrapText="1"/>
    </xf>
    <xf numFmtId="0" fontId="2" fillId="10" borderId="10" xfId="0" applyFont="1" applyFill="1" applyBorder="1" applyAlignment="1">
      <alignment wrapText="1"/>
    </xf>
    <xf numFmtId="0" fontId="2" fillId="10" borderId="11" xfId="0" applyFont="1" applyFill="1" applyBorder="1" applyAlignment="1">
      <alignment wrapText="1"/>
    </xf>
    <xf numFmtId="0" fontId="2" fillId="10" borderId="12" xfId="0" applyFont="1" applyFill="1" applyBorder="1" applyAlignment="1">
      <alignment wrapText="1"/>
    </xf>
    <xf numFmtId="0" fontId="2" fillId="10" borderId="13" xfId="0" applyFont="1" applyFill="1" applyBorder="1" applyAlignment="1">
      <alignment wrapText="1"/>
    </xf>
    <xf numFmtId="0" fontId="2" fillId="10" borderId="1" xfId="0" applyFont="1" applyFill="1" applyBorder="1" applyAlignment="1">
      <alignment wrapText="1"/>
    </xf>
    <xf numFmtId="0" fontId="2" fillId="10" borderId="14" xfId="0" applyFont="1" applyFill="1" applyBorder="1" applyAlignment="1">
      <alignment wrapText="1"/>
    </xf>
  </cellXfs>
  <cellStyles count="163">
    <cellStyle name="Comma" xfId="1" builtinId="3"/>
    <cellStyle name="Hyperlink" xfId="3" builtinId="8"/>
    <cellStyle name="Hyperlink 2" xfId="36"/>
    <cellStyle name="Hyperlink 3" xfId="162"/>
    <cellStyle name="Normal" xfId="0" builtinId="0"/>
    <cellStyle name="Normal 10" xfId="4"/>
    <cellStyle name="Normal 10 2" xfId="45"/>
    <cellStyle name="Normal 100" xfId="71"/>
    <cellStyle name="Normal 101" xfId="72"/>
    <cellStyle name="Normal 102" xfId="73"/>
    <cellStyle name="Normal 103" xfId="74"/>
    <cellStyle name="Normal 104" xfId="75"/>
    <cellStyle name="Normal 105" xfId="76"/>
    <cellStyle name="Normal 106" xfId="77"/>
    <cellStyle name="Normal 107" xfId="78"/>
    <cellStyle name="Normal 108" xfId="79"/>
    <cellStyle name="Normal 109" xfId="80"/>
    <cellStyle name="Normal 11" xfId="46"/>
    <cellStyle name="Normal 110" xfId="81"/>
    <cellStyle name="Normal 111" xfId="82"/>
    <cellStyle name="Normal 112" xfId="83"/>
    <cellStyle name="Normal 113" xfId="84"/>
    <cellStyle name="Normal 114" xfId="85"/>
    <cellStyle name="Normal 115" xfId="86"/>
    <cellStyle name="Normal 116" xfId="87"/>
    <cellStyle name="Normal 117" xfId="88"/>
    <cellStyle name="Normal 118" xfId="89"/>
    <cellStyle name="Normal 119" xfId="90"/>
    <cellStyle name="Normal 12" xfId="48"/>
    <cellStyle name="Normal 120" xfId="91"/>
    <cellStyle name="Normal 121" xfId="92"/>
    <cellStyle name="Normal 122" xfId="93"/>
    <cellStyle name="Normal 123" xfId="94"/>
    <cellStyle name="Normal 124" xfId="95"/>
    <cellStyle name="Normal 125" xfId="96"/>
    <cellStyle name="Normal 126" xfId="97"/>
    <cellStyle name="Normal 127" xfId="98"/>
    <cellStyle name="Normal 128" xfId="99"/>
    <cellStyle name="Normal 129" xfId="100"/>
    <cellStyle name="Normal 13" xfId="49"/>
    <cellStyle name="Normal 130" xfId="101"/>
    <cellStyle name="Normal 131" xfId="102"/>
    <cellStyle name="Normal 132" xfId="103"/>
    <cellStyle name="Normal 133" xfId="104"/>
    <cellStyle name="Normal 134" xfId="105"/>
    <cellStyle name="Normal 135" xfId="106"/>
    <cellStyle name="Normal 136" xfId="35"/>
    <cellStyle name="Normal 138" xfId="107"/>
    <cellStyle name="Normal 139" xfId="108"/>
    <cellStyle name="Normal 14" xfId="50"/>
    <cellStyle name="Normal 140" xfId="109"/>
    <cellStyle name="Normal 141" xfId="110"/>
    <cellStyle name="Normal 143" xfId="111"/>
    <cellStyle name="Normal 144" xfId="112"/>
    <cellStyle name="Normal 145" xfId="113"/>
    <cellStyle name="Normal 146" xfId="114"/>
    <cellStyle name="Normal 147" xfId="115"/>
    <cellStyle name="Normal 148" xfId="116"/>
    <cellStyle name="Normal 149" xfId="117"/>
    <cellStyle name="Normal 15" xfId="51"/>
    <cellStyle name="Normal 150" xfId="118"/>
    <cellStyle name="Normal 151" xfId="119"/>
    <cellStyle name="Normal 152" xfId="120"/>
    <cellStyle name="Normal 153" xfId="121"/>
    <cellStyle name="Normal 154" xfId="122"/>
    <cellStyle name="Normal 155" xfId="123"/>
    <cellStyle name="Normal 156" xfId="124"/>
    <cellStyle name="Normal 157" xfId="125"/>
    <cellStyle name="Normal 16" xfId="52"/>
    <cellStyle name="Normal 17" xfId="53"/>
    <cellStyle name="Normal 18" xfId="56"/>
    <cellStyle name="Normal 19" xfId="57"/>
    <cellStyle name="Normal 2" xfId="34"/>
    <cellStyle name="Normal 2 2" xfId="37"/>
    <cellStyle name="Normal 20" xfId="58"/>
    <cellStyle name="Normal 21" xfId="59"/>
    <cellStyle name="Normal 22" xfId="60"/>
    <cellStyle name="Normal 23" xfId="61"/>
    <cellStyle name="Normal 24" xfId="62"/>
    <cellStyle name="Normal 25" xfId="63"/>
    <cellStyle name="Normal 26" xfId="126"/>
    <cellStyle name="Normal 27" xfId="127"/>
    <cellStyle name="Normal 28" xfId="64"/>
    <cellStyle name="Normal 29" xfId="65"/>
    <cellStyle name="Normal 3" xfId="38"/>
    <cellStyle name="Normal 30" xfId="67"/>
    <cellStyle name="Normal 31" xfId="66"/>
    <cellStyle name="Normal 32" xfId="68"/>
    <cellStyle name="Normal 33" xfId="69"/>
    <cellStyle name="Normal 34" xfId="5"/>
    <cellStyle name="Normal 35" xfId="70"/>
    <cellStyle name="Normal 36" xfId="6"/>
    <cellStyle name="Normal 37" xfId="7"/>
    <cellStyle name="Normal 38" xfId="128"/>
    <cellStyle name="Normal 39" xfId="8"/>
    <cellStyle name="Normal 4" xfId="39"/>
    <cellStyle name="Normal 40" xfId="9"/>
    <cellStyle name="Normal 41" xfId="10"/>
    <cellStyle name="Normal 42" xfId="11"/>
    <cellStyle name="Normal 43" xfId="12"/>
    <cellStyle name="Normal 44" xfId="13"/>
    <cellStyle name="Normal 45" xfId="14"/>
    <cellStyle name="Normal 46" xfId="15"/>
    <cellStyle name="Normal 47" xfId="16"/>
    <cellStyle name="Normal 48" xfId="17"/>
    <cellStyle name="Normal 49" xfId="18"/>
    <cellStyle name="Normal 5" xfId="40"/>
    <cellStyle name="Normal 50" xfId="19"/>
    <cellStyle name="Normal 51" xfId="20"/>
    <cellStyle name="Normal 52" xfId="54"/>
    <cellStyle name="Normal 53" xfId="55"/>
    <cellStyle name="Normal 54" xfId="21"/>
    <cellStyle name="Normal 55" xfId="22"/>
    <cellStyle name="Normal 56" xfId="23"/>
    <cellStyle name="Normal 57" xfId="24"/>
    <cellStyle name="Normal 58" xfId="25"/>
    <cellStyle name="Normal 59" xfId="26"/>
    <cellStyle name="Normal 6" xfId="41"/>
    <cellStyle name="Normal 60" xfId="27"/>
    <cellStyle name="Normal 61" xfId="28"/>
    <cellStyle name="Normal 62" xfId="29"/>
    <cellStyle name="Normal 63" xfId="30"/>
    <cellStyle name="Normal 64" xfId="31"/>
    <cellStyle name="Normal 65" xfId="32"/>
    <cellStyle name="Normal 66" xfId="33"/>
    <cellStyle name="Normal 67" xfId="47"/>
    <cellStyle name="Normal 68" xfId="129"/>
    <cellStyle name="Normal 69" xfId="130"/>
    <cellStyle name="Normal 7" xfId="42"/>
    <cellStyle name="Normal 70" xfId="131"/>
    <cellStyle name="Normal 71" xfId="132"/>
    <cellStyle name="Normal 72" xfId="133"/>
    <cellStyle name="Normal 73" xfId="134"/>
    <cellStyle name="Normal 74" xfId="135"/>
    <cellStyle name="Normal 75" xfId="136"/>
    <cellStyle name="Normal 76" xfId="137"/>
    <cellStyle name="Normal 77" xfId="138"/>
    <cellStyle name="Normal 78" xfId="139"/>
    <cellStyle name="Normal 79" xfId="140"/>
    <cellStyle name="Normal 8" xfId="43"/>
    <cellStyle name="Normal 80" xfId="141"/>
    <cellStyle name="Normal 81" xfId="142"/>
    <cellStyle name="Normal 82" xfId="143"/>
    <cellStyle name="Normal 83" xfId="144"/>
    <cellStyle name="Normal 84" xfId="145"/>
    <cellStyle name="Normal 85" xfId="146"/>
    <cellStyle name="Normal 86" xfId="147"/>
    <cellStyle name="Normal 87" xfId="148"/>
    <cellStyle name="Normal 88" xfId="149"/>
    <cellStyle name="Normal 89" xfId="150"/>
    <cellStyle name="Normal 9" xfId="44"/>
    <cellStyle name="Normal 90" xfId="151"/>
    <cellStyle name="Normal 91" xfId="152"/>
    <cellStyle name="Normal 92" xfId="153"/>
    <cellStyle name="Normal 93" xfId="154"/>
    <cellStyle name="Normal 94" xfId="155"/>
    <cellStyle name="Normal 95" xfId="156"/>
    <cellStyle name="Normal 96" xfId="157"/>
    <cellStyle name="Normal 97" xfId="158"/>
    <cellStyle name="Normal 98" xfId="159"/>
    <cellStyle name="Normal 99" xfId="160"/>
    <cellStyle name="Percent" xfId="2" builtinId="5"/>
    <cellStyle name="Percent 2" xfId="161"/>
  </cellStyles>
  <dxfs count="0"/>
  <tableStyles count="0" defaultTableStyle="TableStyleMedium9" defaultPivotStyle="PivotStyleLight16"/>
  <colors>
    <mruColors>
      <color rgb="FFFFCCFF"/>
      <color rgb="FFFFFF99"/>
      <color rgb="FFFF6699"/>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theme" Target="theme/theme1.xml"/><Relationship Id="rId18" Type="http://schemas.openxmlformats.org/officeDocument/2006/relationships/styles" Target="styles.xml"/><Relationship Id="rId1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Cropland use by crop</a:t>
            </a:r>
            <a:r>
              <a:rPr lang="en-US" sz="1400" baseline="0"/>
              <a:t> </a:t>
            </a:r>
            <a:r>
              <a:rPr lang="en-US" sz="1400"/>
              <a:t>type</a:t>
            </a:r>
          </a:p>
        </c:rich>
      </c:tx>
      <c:layout>
        <c:manualLayout>
          <c:xMode val="edge"/>
          <c:yMode val="edge"/>
          <c:x val="0.0196248906386702"/>
          <c:y val="0.90297790585975"/>
        </c:manualLayout>
      </c:layout>
      <c:overlay val="1"/>
    </c:title>
    <c:autoTitleDeleted val="0"/>
    <c:plotArea>
      <c:layout/>
      <c:pieChart>
        <c:varyColors val="1"/>
        <c:ser>
          <c:idx val="1"/>
          <c:order val="0"/>
          <c:tx>
            <c:v>Cropland</c:v>
          </c:tx>
          <c:dPt>
            <c:idx val="0"/>
            <c:bubble3D val="0"/>
            <c:spPr>
              <a:solidFill>
                <a:schemeClr val="accent6">
                  <a:lumMod val="50000"/>
                </a:schemeClr>
              </a:solidFill>
            </c:spPr>
          </c:dPt>
          <c:dPt>
            <c:idx val="1"/>
            <c:bubble3D val="0"/>
            <c:spPr>
              <a:solidFill>
                <a:schemeClr val="accent3">
                  <a:lumMod val="75000"/>
                </a:schemeClr>
              </a:solidFill>
            </c:spPr>
          </c:dPt>
          <c:dPt>
            <c:idx val="2"/>
            <c:bubble3D val="0"/>
            <c:spPr>
              <a:solidFill>
                <a:schemeClr val="accent2"/>
              </a:solidFill>
            </c:spPr>
          </c:dPt>
          <c:dPt>
            <c:idx val="3"/>
            <c:bubble3D val="0"/>
            <c:spPr>
              <a:solidFill>
                <a:schemeClr val="accent6">
                  <a:lumMod val="60000"/>
                  <a:lumOff val="40000"/>
                </a:schemeClr>
              </a:solidFill>
            </c:spPr>
          </c:dPt>
          <c:dPt>
            <c:idx val="4"/>
            <c:bubble3D val="0"/>
            <c:spPr>
              <a:solidFill>
                <a:schemeClr val="bg2">
                  <a:lumMod val="50000"/>
                </a:schemeClr>
              </a:solidFill>
            </c:spPr>
          </c:dPt>
          <c:dPt>
            <c:idx val="5"/>
            <c:bubble3D val="0"/>
            <c:spPr>
              <a:solidFill>
                <a:schemeClr val="accent6">
                  <a:lumMod val="75000"/>
                </a:schemeClr>
              </a:solidFill>
            </c:spPr>
          </c:dPt>
          <c:dPt>
            <c:idx val="6"/>
            <c:bubble3D val="0"/>
            <c:spPr>
              <a:solidFill>
                <a:schemeClr val="bg2"/>
              </a:solidFill>
            </c:spPr>
          </c:dPt>
          <c:dPt>
            <c:idx val="7"/>
            <c:bubble3D val="0"/>
            <c:spPr>
              <a:solidFill>
                <a:schemeClr val="accent3">
                  <a:lumMod val="50000"/>
                </a:schemeClr>
              </a:solidFill>
            </c:spPr>
          </c:dPt>
          <c:dPt>
            <c:idx val="8"/>
            <c:bubble3D val="0"/>
            <c:spPr>
              <a:solidFill>
                <a:schemeClr val="accent3">
                  <a:lumMod val="20000"/>
                  <a:lumOff val="80000"/>
                </a:schemeClr>
              </a:solidFill>
            </c:spPr>
          </c:dPt>
          <c:dPt>
            <c:idx val="9"/>
            <c:bubble3D val="0"/>
            <c:spPr>
              <a:solidFill>
                <a:schemeClr val="accent6">
                  <a:lumMod val="40000"/>
                  <a:lumOff val="60000"/>
                </a:schemeClr>
              </a:solidFill>
            </c:spPr>
          </c:dPt>
          <c:dLbls>
            <c:numFmt formatCode="0%" sourceLinked="0"/>
            <c:spPr>
              <a:noFill/>
            </c:spPr>
            <c:txPr>
              <a:bodyPr/>
              <a:lstStyle/>
              <a:p>
                <a:pPr>
                  <a:defRPr sz="1100" b="0"/>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'Users diet'!$A$59:$A$99</c:f>
              <c:strCache>
                <c:ptCount val="10"/>
                <c:pt idx="0">
                  <c:v>Grains</c:v>
                </c:pt>
                <c:pt idx="1">
                  <c:v>Vegetables</c:v>
                </c:pt>
                <c:pt idx="2">
                  <c:v>Fruit</c:v>
                </c:pt>
                <c:pt idx="3">
                  <c:v>Pulses</c:v>
                </c:pt>
                <c:pt idx="4">
                  <c:v>Nuts</c:v>
                </c:pt>
                <c:pt idx="5">
                  <c:v>Feed grains and oilseeds</c:v>
                </c:pt>
                <c:pt idx="6">
                  <c:v>Sweeteners</c:v>
                </c:pt>
                <c:pt idx="7">
                  <c:v>Hay</c:v>
                </c:pt>
                <c:pt idx="8">
                  <c:v>Pasture</c:v>
                </c:pt>
                <c:pt idx="9">
                  <c:v>TOTAL cropland</c:v>
                </c:pt>
              </c:strCache>
            </c:strRef>
          </c:cat>
          <c:val>
            <c:numRef>
              <c:f>'Users diet'!$D$59:$D$67</c:f>
              <c:numCache>
                <c:formatCode>0.0000</c:formatCode>
                <c:ptCount val="9"/>
                <c:pt idx="0">
                  <c:v>0.0876647818444768</c:v>
                </c:pt>
                <c:pt idx="1">
                  <c:v>0.0223049026752192</c:v>
                </c:pt>
                <c:pt idx="2">
                  <c:v>0.0258262894264068</c:v>
                </c:pt>
                <c:pt idx="3">
                  <c:v>0.0238722636429812</c:v>
                </c:pt>
                <c:pt idx="4">
                  <c:v>0.00516608493101381</c:v>
                </c:pt>
                <c:pt idx="5">
                  <c:v>0.135927858930603</c:v>
                </c:pt>
                <c:pt idx="6">
                  <c:v>0.00587498257049434</c:v>
                </c:pt>
                <c:pt idx="7">
                  <c:v>0.117915764731114</c:v>
                </c:pt>
                <c:pt idx="8">
                  <c:v>0.0</c:v>
                </c:pt>
              </c:numCache>
            </c:numRef>
          </c:val>
        </c:ser>
        <c:dLbls>
          <c:showLegendKey val="0"/>
          <c:showVal val="1"/>
          <c:showCatName val="0"/>
          <c:showSerName val="0"/>
          <c:showPercent val="0"/>
          <c:showBubbleSize val="0"/>
          <c:showLeaderLines val="1"/>
        </c:dLbls>
        <c:firstSliceAng val="0"/>
      </c:pieChart>
    </c:plotArea>
    <c:plotVisOnly val="1"/>
    <c:dispBlanksAs val="zero"/>
    <c:showDLblsOverMax val="0"/>
  </c:chart>
  <c:printSettings>
    <c:headerFooter/>
    <c:pageMargins b="0.750000000000006" l="0.700000000000001" r="0.700000000000001" t="0.75000000000000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466725</xdr:colOff>
      <xdr:row>0</xdr:row>
      <xdr:rowOff>38100</xdr:rowOff>
    </xdr:from>
    <xdr:to>
      <xdr:col>7</xdr:col>
      <xdr:colOff>1057275</xdr:colOff>
      <xdr:row>20</xdr:row>
      <xdr:rowOff>28575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AppData/Step%201%20Kellogg_WeightedAvg_with2010census.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A32" sqref="A32"/>
    </sheetView>
  </sheetViews>
  <sheetFormatPr baseColWidth="10" defaultColWidth="8.83203125" defaultRowHeight="13" x14ac:dyDescent="0.15"/>
  <cols>
    <col min="1" max="1" width="25.6640625" bestFit="1" customWidth="1"/>
    <col min="2" max="2" width="148.5" bestFit="1" customWidth="1"/>
  </cols>
  <sheetData>
    <row r="1" spans="1:14" ht="14" thickBot="1" x14ac:dyDescent="0.2">
      <c r="A1" s="1" t="s">
        <v>25</v>
      </c>
    </row>
    <row r="2" spans="1:14" x14ac:dyDescent="0.15">
      <c r="A2" s="830" t="s">
        <v>1243</v>
      </c>
      <c r="B2" s="831"/>
      <c r="C2" s="738"/>
      <c r="D2" s="738"/>
      <c r="E2" s="738"/>
      <c r="F2" s="738"/>
      <c r="G2" s="738"/>
      <c r="H2" s="738"/>
      <c r="I2" s="738"/>
      <c r="J2" s="738"/>
      <c r="K2" s="738"/>
      <c r="L2" s="738"/>
      <c r="M2" s="738"/>
      <c r="N2" s="738"/>
    </row>
    <row r="3" spans="1:14" x14ac:dyDescent="0.15">
      <c r="A3" s="832"/>
      <c r="B3" s="833"/>
      <c r="C3" s="738"/>
      <c r="D3" s="738"/>
      <c r="E3" s="738"/>
      <c r="F3" s="738"/>
      <c r="G3" s="738"/>
      <c r="H3" s="738"/>
      <c r="I3" s="738"/>
      <c r="J3" s="738"/>
      <c r="K3" s="738"/>
      <c r="L3" s="738"/>
      <c r="M3" s="738"/>
      <c r="N3" s="738"/>
    </row>
    <row r="4" spans="1:14" x14ac:dyDescent="0.15">
      <c r="A4" s="832"/>
      <c r="B4" s="833"/>
      <c r="C4" s="738"/>
      <c r="D4" s="738"/>
      <c r="E4" s="738"/>
      <c r="F4" s="738"/>
      <c r="G4" s="738"/>
      <c r="H4" s="738"/>
      <c r="I4" s="738"/>
      <c r="J4" s="738"/>
      <c r="K4" s="738"/>
      <c r="L4" s="738"/>
      <c r="M4" s="738"/>
      <c r="N4" s="738"/>
    </row>
    <row r="5" spans="1:14" ht="14" thickBot="1" x14ac:dyDescent="0.2">
      <c r="A5" s="834"/>
      <c r="B5" s="835"/>
      <c r="C5" s="738"/>
      <c r="D5" s="738"/>
      <c r="E5" s="738"/>
      <c r="F5" s="738"/>
      <c r="G5" s="738"/>
      <c r="H5" s="738"/>
      <c r="I5" s="738"/>
      <c r="J5" s="738"/>
      <c r="K5" s="738"/>
      <c r="L5" s="738"/>
      <c r="M5" s="738"/>
      <c r="N5" s="738"/>
    </row>
    <row r="7" spans="1:14" ht="14" thickBot="1" x14ac:dyDescent="0.2">
      <c r="A7" s="740" t="s">
        <v>1244</v>
      </c>
      <c r="B7" s="739" t="s">
        <v>1245</v>
      </c>
    </row>
    <row r="8" spans="1:14" x14ac:dyDescent="0.15">
      <c r="A8" s="540" t="s">
        <v>1246</v>
      </c>
      <c r="B8" s="43" t="s">
        <v>1247</v>
      </c>
    </row>
    <row r="9" spans="1:14" x14ac:dyDescent="0.15">
      <c r="A9" s="540" t="s">
        <v>1248</v>
      </c>
      <c r="B9" s="43" t="s">
        <v>1249</v>
      </c>
    </row>
    <row r="10" spans="1:14" x14ac:dyDescent="0.15">
      <c r="A10" s="540" t="s">
        <v>1250</v>
      </c>
      <c r="B10" s="43" t="s">
        <v>1251</v>
      </c>
    </row>
    <row r="11" spans="1:14" x14ac:dyDescent="0.15">
      <c r="A11" s="540" t="s">
        <v>1252</v>
      </c>
      <c r="B11" s="43" t="s">
        <v>1253</v>
      </c>
    </row>
    <row r="12" spans="1:14" x14ac:dyDescent="0.15">
      <c r="A12" s="540" t="s">
        <v>1254</v>
      </c>
      <c r="B12" s="43" t="s">
        <v>1255</v>
      </c>
    </row>
    <row r="13" spans="1:14" x14ac:dyDescent="0.15">
      <c r="A13" s="540" t="s">
        <v>1257</v>
      </c>
      <c r="B13" s="43" t="s">
        <v>1256</v>
      </c>
    </row>
    <row r="14" spans="1:14" s="308" customFormat="1" x14ac:dyDescent="0.15">
      <c r="A14" s="540" t="s">
        <v>1272</v>
      </c>
      <c r="B14" s="43" t="s">
        <v>1273</v>
      </c>
    </row>
    <row r="15" spans="1:14" s="308" customFormat="1" x14ac:dyDescent="0.15">
      <c r="A15" s="540" t="s">
        <v>1374</v>
      </c>
      <c r="B15" s="43" t="s">
        <v>1375</v>
      </c>
    </row>
    <row r="16" spans="1:14" x14ac:dyDescent="0.15">
      <c r="A16" s="540" t="s">
        <v>1258</v>
      </c>
      <c r="B16" s="43" t="s">
        <v>1259</v>
      </c>
    </row>
    <row r="17" spans="1:2" x14ac:dyDescent="0.15">
      <c r="A17" s="540" t="s">
        <v>1260</v>
      </c>
      <c r="B17" s="43" t="s">
        <v>1261</v>
      </c>
    </row>
    <row r="18" spans="1:2" x14ac:dyDescent="0.15">
      <c r="A18" s="540" t="s">
        <v>1262</v>
      </c>
      <c r="B18" s="43" t="s">
        <v>1263</v>
      </c>
    </row>
    <row r="19" spans="1:2" x14ac:dyDescent="0.15">
      <c r="A19" s="540" t="s">
        <v>1264</v>
      </c>
      <c r="B19" s="43" t="s">
        <v>1265</v>
      </c>
    </row>
    <row r="20" spans="1:2" x14ac:dyDescent="0.15">
      <c r="A20" s="540" t="s">
        <v>1266</v>
      </c>
      <c r="B20" s="43" t="s">
        <v>1267</v>
      </c>
    </row>
    <row r="21" spans="1:2" x14ac:dyDescent="0.15">
      <c r="A21" s="540" t="s">
        <v>1268</v>
      </c>
      <c r="B21" s="43" t="s">
        <v>1269</v>
      </c>
    </row>
    <row r="22" spans="1:2" x14ac:dyDescent="0.15">
      <c r="A22" s="554" t="s">
        <v>1270</v>
      </c>
      <c r="B22" s="44" t="s">
        <v>1271</v>
      </c>
    </row>
    <row r="23" spans="1:2" x14ac:dyDescent="0.15">
      <c r="A23" s="15"/>
    </row>
    <row r="24" spans="1:2" x14ac:dyDescent="0.15">
      <c r="A24" s="5"/>
    </row>
    <row r="25" spans="1:2" x14ac:dyDescent="0.15">
      <c r="A25" s="5"/>
    </row>
    <row r="26" spans="1:2" x14ac:dyDescent="0.15">
      <c r="A26" s="6"/>
    </row>
  </sheetData>
  <mergeCells count="1">
    <mergeCell ref="A2:B5"/>
  </mergeCells>
  <phoneticPr fontId="4" type="noConversion"/>
  <pageMargins left="0.75" right="0.75" top="1" bottom="1" header="0.5" footer="0.5"/>
  <pageSetup orientation="portrait"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41"/>
  <sheetViews>
    <sheetView topLeftCell="A11" workbookViewId="0">
      <selection activeCell="N25" sqref="N25"/>
    </sheetView>
  </sheetViews>
  <sheetFormatPr baseColWidth="10" defaultColWidth="8.83203125" defaultRowHeight="13" x14ac:dyDescent="0.15"/>
  <cols>
    <col min="1" max="1" width="44.1640625" customWidth="1"/>
    <col min="2" max="14" width="11.83203125" style="235" customWidth="1"/>
    <col min="15" max="16" width="11.83203125" style="9" customWidth="1"/>
    <col min="17" max="17" width="11.5" bestFit="1" customWidth="1"/>
    <col min="18" max="18" width="12.5" bestFit="1" customWidth="1"/>
    <col min="19" max="21" width="9.33203125" bestFit="1" customWidth="1"/>
    <col min="23" max="23" width="11.5" bestFit="1" customWidth="1"/>
  </cols>
  <sheetData>
    <row r="1" spans="1:24" x14ac:dyDescent="0.15">
      <c r="A1" s="1" t="s">
        <v>21</v>
      </c>
    </row>
    <row r="2" spans="1:24" x14ac:dyDescent="0.15">
      <c r="A2" s="909" t="s">
        <v>1222</v>
      </c>
      <c r="B2" s="910"/>
      <c r="C2" s="910"/>
      <c r="D2" s="910"/>
      <c r="E2" s="910"/>
      <c r="F2" s="910"/>
      <c r="G2" s="910"/>
      <c r="H2" s="910"/>
      <c r="I2" s="910"/>
      <c r="J2" s="910"/>
      <c r="K2" s="910"/>
      <c r="L2" s="910"/>
      <c r="M2" s="911"/>
    </row>
    <row r="3" spans="1:24" x14ac:dyDescent="0.15">
      <c r="A3" s="912"/>
      <c r="B3" s="913"/>
      <c r="C3" s="913"/>
      <c r="D3" s="913"/>
      <c r="E3" s="913"/>
      <c r="F3" s="913"/>
      <c r="G3" s="913"/>
      <c r="H3" s="913"/>
      <c r="I3" s="913"/>
      <c r="J3" s="913"/>
      <c r="K3" s="913"/>
      <c r="L3" s="913"/>
      <c r="M3" s="914"/>
    </row>
    <row r="4" spans="1:24" x14ac:dyDescent="0.15">
      <c r="A4" s="912"/>
      <c r="B4" s="913"/>
      <c r="C4" s="913"/>
      <c r="D4" s="913"/>
      <c r="E4" s="913"/>
      <c r="F4" s="913"/>
      <c r="G4" s="913"/>
      <c r="H4" s="913"/>
      <c r="I4" s="913"/>
      <c r="J4" s="913"/>
      <c r="K4" s="913"/>
      <c r="L4" s="913"/>
      <c r="M4" s="914"/>
    </row>
    <row r="5" spans="1:24" x14ac:dyDescent="0.15">
      <c r="A5" s="915"/>
      <c r="B5" s="916"/>
      <c r="C5" s="916"/>
      <c r="D5" s="916"/>
      <c r="E5" s="916"/>
      <c r="F5" s="916"/>
      <c r="G5" s="916"/>
      <c r="H5" s="916"/>
      <c r="I5" s="916"/>
      <c r="J5" s="916"/>
      <c r="K5" s="916"/>
      <c r="L5" s="916"/>
      <c r="M5" s="917"/>
    </row>
    <row r="6" spans="1:24" x14ac:dyDescent="0.15">
      <c r="A6" s="249"/>
      <c r="B6" s="256"/>
      <c r="C6" s="256"/>
      <c r="D6" s="256"/>
      <c r="E6" s="256"/>
      <c r="F6" s="256"/>
      <c r="G6" s="256"/>
      <c r="H6" s="256"/>
      <c r="I6" s="256"/>
      <c r="J6" s="256"/>
      <c r="K6" s="256"/>
      <c r="L6" s="256"/>
      <c r="M6" s="256"/>
      <c r="N6" s="256"/>
      <c r="O6" s="257"/>
      <c r="P6" s="257"/>
      <c r="Q6" s="217"/>
      <c r="R6" s="217"/>
      <c r="S6" s="217"/>
      <c r="T6" s="217"/>
      <c r="U6" s="217"/>
      <c r="V6" s="217"/>
      <c r="W6" s="217"/>
      <c r="X6" s="217"/>
    </row>
    <row r="7" spans="1:24" s="218" customFormat="1" ht="52" x14ac:dyDescent="0.15">
      <c r="A7" s="250" t="s">
        <v>588</v>
      </c>
      <c r="B7" s="258" t="s">
        <v>734</v>
      </c>
      <c r="C7" s="258" t="s">
        <v>734</v>
      </c>
      <c r="D7" s="258" t="s">
        <v>734</v>
      </c>
      <c r="E7" s="258" t="s">
        <v>735</v>
      </c>
      <c r="F7" s="258" t="s">
        <v>735</v>
      </c>
      <c r="G7" s="258" t="s">
        <v>735</v>
      </c>
      <c r="H7" s="258" t="s">
        <v>736</v>
      </c>
      <c r="I7" s="258" t="s">
        <v>736</v>
      </c>
      <c r="J7" s="258" t="s">
        <v>736</v>
      </c>
      <c r="K7" s="259" t="s">
        <v>733</v>
      </c>
      <c r="L7" s="259" t="s">
        <v>733</v>
      </c>
      <c r="M7" s="259" t="s">
        <v>733</v>
      </c>
      <c r="N7" s="259" t="s">
        <v>732</v>
      </c>
      <c r="O7" s="259" t="s">
        <v>732</v>
      </c>
      <c r="P7" s="259" t="s">
        <v>732</v>
      </c>
      <c r="Q7" s="259" t="s">
        <v>731</v>
      </c>
      <c r="R7" s="259" t="s">
        <v>731</v>
      </c>
      <c r="S7" s="259" t="s">
        <v>731</v>
      </c>
    </row>
    <row r="8" spans="1:24" s="248" customFormat="1" ht="46.5" customHeight="1" x14ac:dyDescent="0.15">
      <c r="A8" s="251"/>
      <c r="B8" s="259" t="s">
        <v>590</v>
      </c>
      <c r="C8" s="260" t="s">
        <v>587</v>
      </c>
      <c r="D8" s="260" t="s">
        <v>589</v>
      </c>
      <c r="E8" s="259" t="s">
        <v>590</v>
      </c>
      <c r="F8" s="260" t="s">
        <v>587</v>
      </c>
      <c r="G8" s="260" t="s">
        <v>589</v>
      </c>
      <c r="H8" s="259" t="s">
        <v>590</v>
      </c>
      <c r="I8" s="260" t="s">
        <v>587</v>
      </c>
      <c r="J8" s="260" t="s">
        <v>589</v>
      </c>
      <c r="K8" s="259" t="s">
        <v>590</v>
      </c>
      <c r="L8" s="260" t="s">
        <v>587</v>
      </c>
      <c r="M8" s="260" t="s">
        <v>589</v>
      </c>
      <c r="N8" s="259" t="s">
        <v>590</v>
      </c>
      <c r="O8" s="260" t="s">
        <v>587</v>
      </c>
      <c r="P8" s="260" t="s">
        <v>589</v>
      </c>
      <c r="Q8" s="259" t="s">
        <v>590</v>
      </c>
      <c r="R8" s="260" t="s">
        <v>587</v>
      </c>
      <c r="S8" s="260" t="s">
        <v>589</v>
      </c>
    </row>
    <row r="9" spans="1:24" x14ac:dyDescent="0.15">
      <c r="A9" s="219" t="s">
        <v>569</v>
      </c>
      <c r="B9" s="247">
        <v>2.010240208507557</v>
      </c>
      <c r="C9" s="295" t="s">
        <v>660</v>
      </c>
      <c r="D9" s="295" t="s">
        <v>660</v>
      </c>
      <c r="E9" s="252">
        <v>0.56642072113177699</v>
      </c>
      <c r="F9" s="252" t="s">
        <v>660</v>
      </c>
      <c r="G9" s="252" t="s">
        <v>660</v>
      </c>
      <c r="H9" s="261" t="s">
        <v>660</v>
      </c>
      <c r="I9" s="261" t="s">
        <v>660</v>
      </c>
      <c r="J9" s="261" t="s">
        <v>660</v>
      </c>
      <c r="K9" s="262" t="s">
        <v>660</v>
      </c>
      <c r="L9" s="262" t="s">
        <v>660</v>
      </c>
      <c r="M9" s="262" t="s">
        <v>660</v>
      </c>
      <c r="N9" s="263" t="s">
        <v>660</v>
      </c>
      <c r="O9" s="263" t="s">
        <v>660</v>
      </c>
      <c r="P9" s="263" t="s">
        <v>660</v>
      </c>
      <c r="Q9" s="302" t="s">
        <v>660</v>
      </c>
      <c r="R9" s="302" t="s">
        <v>660</v>
      </c>
      <c r="S9" s="302" t="s">
        <v>660</v>
      </c>
    </row>
    <row r="10" spans="1:24" x14ac:dyDescent="0.15">
      <c r="A10" s="219" t="s">
        <v>570</v>
      </c>
      <c r="B10" s="247">
        <v>1.4306804292203039</v>
      </c>
      <c r="C10" s="247">
        <v>1.9700914751036955</v>
      </c>
      <c r="D10" s="247">
        <v>3.27257720116893</v>
      </c>
      <c r="E10" s="252">
        <v>0.67733858183829199</v>
      </c>
      <c r="F10" s="252">
        <v>0.93271630657985649</v>
      </c>
      <c r="G10" s="252">
        <v>1.5493626355147121</v>
      </c>
      <c r="H10" s="261" t="s">
        <v>660</v>
      </c>
      <c r="I10" s="261" t="s">
        <v>660</v>
      </c>
      <c r="J10" s="261" t="s">
        <v>660</v>
      </c>
      <c r="K10" s="262" t="s">
        <v>660</v>
      </c>
      <c r="L10" s="262" t="s">
        <v>660</v>
      </c>
      <c r="M10" s="262" t="s">
        <v>660</v>
      </c>
      <c r="N10" s="263" t="s">
        <v>660</v>
      </c>
      <c r="O10" s="263" t="s">
        <v>660</v>
      </c>
      <c r="P10" s="263" t="s">
        <v>660</v>
      </c>
      <c r="Q10" s="302" t="s">
        <v>660</v>
      </c>
      <c r="R10" s="302" t="s">
        <v>660</v>
      </c>
      <c r="S10" s="302" t="s">
        <v>660</v>
      </c>
    </row>
    <row r="11" spans="1:24" x14ac:dyDescent="0.15">
      <c r="A11" s="219" t="s">
        <v>571</v>
      </c>
      <c r="B11" s="247">
        <v>1.994542376621361</v>
      </c>
      <c r="C11" s="247">
        <v>2.5196341291325934</v>
      </c>
      <c r="D11" s="247">
        <v>3.1894102900412578</v>
      </c>
      <c r="E11" s="252">
        <v>0.97208920261914933</v>
      </c>
      <c r="F11" s="252">
        <v>1.2280055616714871</v>
      </c>
      <c r="G11" s="252">
        <v>1.5544374198373256</v>
      </c>
      <c r="H11" s="261" t="s">
        <v>660</v>
      </c>
      <c r="I11" s="261" t="s">
        <v>660</v>
      </c>
      <c r="J11" s="261" t="s">
        <v>660</v>
      </c>
      <c r="K11" s="262" t="s">
        <v>660</v>
      </c>
      <c r="L11" s="262" t="s">
        <v>660</v>
      </c>
      <c r="M11" s="262" t="s">
        <v>660</v>
      </c>
      <c r="N11" s="263" t="s">
        <v>660</v>
      </c>
      <c r="O11" s="263" t="s">
        <v>660</v>
      </c>
      <c r="P11" s="263" t="s">
        <v>660</v>
      </c>
      <c r="Q11" s="302" t="s">
        <v>660</v>
      </c>
      <c r="R11" s="302" t="s">
        <v>660</v>
      </c>
      <c r="S11" s="302" t="s">
        <v>660</v>
      </c>
    </row>
    <row r="12" spans="1:24" x14ac:dyDescent="0.15">
      <c r="A12" s="219" t="s">
        <v>572</v>
      </c>
      <c r="B12" s="247">
        <v>2.1407873538592925</v>
      </c>
      <c r="C12" s="247">
        <v>3.5561251725237413</v>
      </c>
      <c r="D12" s="247">
        <v>5.315583217524277</v>
      </c>
      <c r="E12" s="252">
        <v>0.13153400362968934</v>
      </c>
      <c r="F12" s="252">
        <v>0.21849502264067994</v>
      </c>
      <c r="G12" s="252">
        <v>0.32659943593524654</v>
      </c>
      <c r="H12" s="253">
        <v>5.0880197208109337</v>
      </c>
      <c r="I12" s="253">
        <v>8.4518600013470664</v>
      </c>
      <c r="J12" s="253">
        <v>12.63357249827663</v>
      </c>
      <c r="K12" s="262" t="s">
        <v>660</v>
      </c>
      <c r="L12" s="262" t="s">
        <v>660</v>
      </c>
      <c r="M12" s="262" t="s">
        <v>660</v>
      </c>
      <c r="N12" s="263" t="s">
        <v>660</v>
      </c>
      <c r="O12" s="263" t="s">
        <v>660</v>
      </c>
      <c r="P12" s="263" t="s">
        <v>660</v>
      </c>
      <c r="Q12" s="302">
        <v>7.6111547914922015</v>
      </c>
      <c r="R12" s="302">
        <v>12.64311427158173</v>
      </c>
      <c r="S12" s="302">
        <v>18.898526564397201</v>
      </c>
    </row>
    <row r="13" spans="1:24" x14ac:dyDescent="0.15">
      <c r="A13" s="219" t="s">
        <v>573</v>
      </c>
      <c r="B13" s="247">
        <v>0.13284722358698656</v>
      </c>
      <c r="C13" s="295" t="s">
        <v>660</v>
      </c>
      <c r="D13" s="295" t="s">
        <v>660</v>
      </c>
      <c r="E13" s="252">
        <v>7.3570154345814362E-2</v>
      </c>
      <c r="F13" s="296" t="s">
        <v>660</v>
      </c>
      <c r="G13" s="296" t="s">
        <v>660</v>
      </c>
      <c r="H13" s="253">
        <v>0.24292814040642011</v>
      </c>
      <c r="I13" s="261" t="s">
        <v>660</v>
      </c>
      <c r="J13" s="261" t="s">
        <v>660</v>
      </c>
      <c r="K13" s="254">
        <v>0.41802507852553888</v>
      </c>
      <c r="L13" s="262" t="s">
        <v>660</v>
      </c>
      <c r="M13" s="262" t="s">
        <v>660</v>
      </c>
      <c r="N13" s="255">
        <v>0.95553192075115589</v>
      </c>
      <c r="O13" s="263" t="s">
        <v>660</v>
      </c>
      <c r="P13" s="263" t="s">
        <v>660</v>
      </c>
      <c r="Q13" s="302" t="s">
        <v>660</v>
      </c>
      <c r="R13" s="302" t="s">
        <v>660</v>
      </c>
      <c r="S13" s="302" t="s">
        <v>660</v>
      </c>
    </row>
    <row r="14" spans="1:24" x14ac:dyDescent="0.15">
      <c r="A14" s="219" t="s">
        <v>714</v>
      </c>
      <c r="B14" s="295" t="s">
        <v>660</v>
      </c>
      <c r="C14" s="295" t="s">
        <v>660</v>
      </c>
      <c r="D14" s="295" t="s">
        <v>660</v>
      </c>
      <c r="E14" s="296" t="s">
        <v>660</v>
      </c>
      <c r="F14" s="296" t="s">
        <v>660</v>
      </c>
      <c r="G14" s="296" t="s">
        <v>660</v>
      </c>
      <c r="H14" s="261" t="s">
        <v>660</v>
      </c>
      <c r="I14" s="261" t="s">
        <v>660</v>
      </c>
      <c r="J14" s="261" t="s">
        <v>660</v>
      </c>
      <c r="K14" s="262" t="s">
        <v>660</v>
      </c>
      <c r="L14" s="262" t="s">
        <v>660</v>
      </c>
      <c r="M14" s="262" t="s">
        <v>660</v>
      </c>
      <c r="N14" s="263" t="s">
        <v>660</v>
      </c>
      <c r="O14" s="263" t="s">
        <v>660</v>
      </c>
      <c r="P14" s="263" t="s">
        <v>660</v>
      </c>
      <c r="Q14" s="302" t="s">
        <v>660</v>
      </c>
      <c r="R14" s="302" t="s">
        <v>660</v>
      </c>
      <c r="S14" s="302" t="s">
        <v>660</v>
      </c>
    </row>
    <row r="15" spans="1:24" x14ac:dyDescent="0.15">
      <c r="A15" s="219" t="s">
        <v>713</v>
      </c>
      <c r="B15" s="247">
        <v>1.7927157435770058</v>
      </c>
      <c r="C15" s="247">
        <v>2.972797466817926</v>
      </c>
      <c r="D15" s="247">
        <v>4.4397857060356687</v>
      </c>
      <c r="E15" s="252">
        <v>0.25240483496109573</v>
      </c>
      <c r="F15" s="252">
        <v>0.41855406060515299</v>
      </c>
      <c r="G15" s="252">
        <v>0.62509819663801514</v>
      </c>
      <c r="H15" s="253">
        <v>1.414748955680059</v>
      </c>
      <c r="I15" s="253">
        <v>2.3460284357391923</v>
      </c>
      <c r="J15" s="253">
        <v>3.5037245662406984</v>
      </c>
      <c r="K15" s="262">
        <v>0.26163500557595615</v>
      </c>
      <c r="L15" s="262">
        <v>0.43386012790581974</v>
      </c>
      <c r="M15" s="262">
        <v>0.64795735861444792</v>
      </c>
      <c r="N15" s="263">
        <v>0.59805167741499321</v>
      </c>
      <c r="O15" s="263">
        <v>0.99172806286516246</v>
      </c>
      <c r="P15" s="263">
        <v>1.4811167349709209</v>
      </c>
      <c r="Q15" s="302" t="s">
        <v>660</v>
      </c>
      <c r="R15" s="302" t="s">
        <v>660</v>
      </c>
      <c r="S15" s="302" t="s">
        <v>660</v>
      </c>
    </row>
    <row r="16" spans="1:24" x14ac:dyDescent="0.15">
      <c r="A16" s="219" t="s">
        <v>574</v>
      </c>
      <c r="B16" s="247">
        <v>2.3653323913889039</v>
      </c>
      <c r="C16" s="247">
        <v>3.2181393080121148</v>
      </c>
      <c r="D16" s="247">
        <v>4.4144572126366457</v>
      </c>
      <c r="E16" s="252">
        <v>0.57284468601205019</v>
      </c>
      <c r="F16" s="252">
        <v>0.77938052518646284</v>
      </c>
      <c r="G16" s="252">
        <v>1.0691090880472742</v>
      </c>
      <c r="H16" s="261" t="s">
        <v>660</v>
      </c>
      <c r="I16" s="261" t="s">
        <v>660</v>
      </c>
      <c r="J16" s="261" t="s">
        <v>660</v>
      </c>
      <c r="K16" s="262" t="s">
        <v>660</v>
      </c>
      <c r="L16" s="262" t="s">
        <v>660</v>
      </c>
      <c r="M16" s="262" t="s">
        <v>660</v>
      </c>
      <c r="N16" s="263" t="s">
        <v>660</v>
      </c>
      <c r="O16" s="263" t="s">
        <v>660</v>
      </c>
      <c r="P16" s="263" t="s">
        <v>660</v>
      </c>
      <c r="Q16" s="302" t="s">
        <v>660</v>
      </c>
      <c r="R16" s="302" t="s">
        <v>660</v>
      </c>
      <c r="S16" s="302" t="s">
        <v>660</v>
      </c>
    </row>
    <row r="17" spans="1:19" s="310" customFormat="1" x14ac:dyDescent="0.15">
      <c r="A17" s="417"/>
      <c r="B17" s="317"/>
      <c r="C17" s="317"/>
      <c r="D17" s="317"/>
      <c r="E17" s="317"/>
      <c r="F17" s="317"/>
      <c r="G17" s="317"/>
      <c r="H17" s="350"/>
      <c r="I17" s="350"/>
      <c r="J17" s="350"/>
      <c r="K17" s="350"/>
      <c r="L17" s="350"/>
      <c r="M17" s="350"/>
      <c r="N17" s="350"/>
      <c r="O17" s="350"/>
      <c r="P17" s="350"/>
      <c r="Q17" s="350"/>
      <c r="R17" s="350"/>
      <c r="S17" s="350"/>
    </row>
    <row r="18" spans="1:19" s="310" customFormat="1" ht="39" x14ac:dyDescent="0.15">
      <c r="A18" s="417" t="s">
        <v>737</v>
      </c>
      <c r="B18" s="258" t="s">
        <v>575</v>
      </c>
      <c r="C18" s="258"/>
      <c r="D18" s="258"/>
      <c r="E18" s="258" t="s">
        <v>592</v>
      </c>
      <c r="F18" s="258"/>
      <c r="G18" s="258"/>
      <c r="H18" s="258" t="s">
        <v>577</v>
      </c>
      <c r="I18" s="259"/>
      <c r="J18" s="259"/>
      <c r="K18" s="259" t="s">
        <v>578</v>
      </c>
      <c r="L18" s="259"/>
      <c r="M18" s="259"/>
      <c r="N18" s="259" t="s">
        <v>579</v>
      </c>
      <c r="O18" s="259"/>
      <c r="P18" s="259"/>
      <c r="Q18" s="350"/>
      <c r="R18" s="350"/>
      <c r="S18" s="350"/>
    </row>
    <row r="19" spans="1:19" s="310" customFormat="1" x14ac:dyDescent="0.15">
      <c r="A19" s="417" t="s">
        <v>741</v>
      </c>
      <c r="B19" s="317">
        <f>89.364/100</f>
        <v>0.89363999999999999</v>
      </c>
      <c r="C19" s="317"/>
      <c r="D19" s="317"/>
      <c r="E19" s="317">
        <f>90.081/100</f>
        <v>0.90081</v>
      </c>
      <c r="F19" s="317"/>
      <c r="G19" s="317"/>
      <c r="H19" s="350">
        <f>91.447/100</f>
        <v>0.91447000000000001</v>
      </c>
      <c r="I19" s="350"/>
      <c r="J19" s="350"/>
      <c r="K19" s="350">
        <f>40.2/100</f>
        <v>0.40200000000000002</v>
      </c>
      <c r="L19" s="350"/>
      <c r="M19" s="350"/>
      <c r="N19" s="350">
        <f>33.7/100</f>
        <v>0.33700000000000002</v>
      </c>
      <c r="O19" s="350"/>
      <c r="P19" s="350"/>
      <c r="Q19" s="350"/>
      <c r="R19" s="350"/>
      <c r="S19" s="350"/>
    </row>
    <row r="20" spans="1:19" s="310" customFormat="1" x14ac:dyDescent="0.15">
      <c r="A20" s="417" t="s">
        <v>738</v>
      </c>
      <c r="B20" s="418">
        <v>0.155</v>
      </c>
      <c r="C20" s="418"/>
      <c r="D20" s="418">
        <f>D21/B9</f>
        <v>1.0575621301775149</v>
      </c>
      <c r="E20" s="418">
        <v>0.125</v>
      </c>
      <c r="F20" s="418"/>
      <c r="G20" s="418"/>
      <c r="H20" s="419">
        <v>0.13</v>
      </c>
      <c r="I20" s="419"/>
      <c r="J20" s="419"/>
      <c r="K20" s="419">
        <v>0.13</v>
      </c>
      <c r="L20" s="419"/>
      <c r="M20" s="419"/>
      <c r="N20" s="304" t="s">
        <v>739</v>
      </c>
      <c r="O20" s="350"/>
      <c r="P20" s="350"/>
      <c r="Q20" s="350"/>
      <c r="R20" s="350"/>
      <c r="S20" s="350"/>
    </row>
    <row r="21" spans="1:19" s="310" customFormat="1" x14ac:dyDescent="0.15">
      <c r="A21" s="417" t="s">
        <v>742</v>
      </c>
      <c r="B21" s="418">
        <f>1-B20</f>
        <v>0.84499999999999997</v>
      </c>
      <c r="C21" s="418">
        <f>B9*B19</f>
        <v>1.7964310599306932</v>
      </c>
      <c r="D21" s="418">
        <f>C21/B21</f>
        <v>2.1259539170777435</v>
      </c>
      <c r="E21" s="418">
        <f>1-E20</f>
        <v>0.875</v>
      </c>
      <c r="F21" s="418"/>
      <c r="G21" s="418"/>
      <c r="H21" s="418">
        <f>1-H20</f>
        <v>0.87</v>
      </c>
      <c r="I21" s="419"/>
      <c r="J21" s="419"/>
      <c r="K21" s="418">
        <f>1-K20</f>
        <v>0.87</v>
      </c>
      <c r="L21" s="419"/>
      <c r="M21" s="419"/>
      <c r="N21" s="350" t="s">
        <v>63</v>
      </c>
      <c r="O21" s="350"/>
      <c r="P21" s="350"/>
      <c r="Q21" s="350"/>
      <c r="R21" s="350"/>
      <c r="S21" s="350"/>
    </row>
    <row r="22" spans="1:19" s="310" customFormat="1" x14ac:dyDescent="0.15">
      <c r="A22" s="417" t="s">
        <v>740</v>
      </c>
      <c r="B22" s="247">
        <f>B19/B21</f>
        <v>1.0575621301775149</v>
      </c>
      <c r="C22" s="317"/>
      <c r="D22" s="317">
        <f>B19/B21</f>
        <v>1.0575621301775149</v>
      </c>
      <c r="E22" s="252">
        <f>E19/E21</f>
        <v>1.0294971428571429</v>
      </c>
      <c r="F22" s="317"/>
      <c r="G22" s="317"/>
      <c r="H22" s="253">
        <f>H19/H21</f>
        <v>1.0511149425287356</v>
      </c>
      <c r="I22" s="350"/>
      <c r="J22" s="350"/>
      <c r="K22" s="254">
        <f>K19/K21</f>
        <v>0.46206896551724141</v>
      </c>
      <c r="L22" s="350"/>
      <c r="M22" s="350"/>
      <c r="N22" s="263">
        <v>1</v>
      </c>
      <c r="O22" s="350"/>
      <c r="P22" s="350"/>
      <c r="Q22" s="350"/>
      <c r="R22" s="350"/>
      <c r="S22" s="350"/>
    </row>
    <row r="23" spans="1:19" x14ac:dyDescent="0.15">
      <c r="O23" s="235"/>
      <c r="P23" s="235"/>
    </row>
    <row r="24" spans="1:19" s="310" customFormat="1" ht="39" x14ac:dyDescent="0.15">
      <c r="A24" s="677" t="s">
        <v>580</v>
      </c>
      <c r="B24" s="259" t="s">
        <v>575</v>
      </c>
      <c r="C24" s="259"/>
      <c r="D24" s="259"/>
      <c r="E24" s="259" t="s">
        <v>576</v>
      </c>
      <c r="F24" s="259"/>
      <c r="G24" s="259"/>
      <c r="H24" s="259" t="s">
        <v>577</v>
      </c>
      <c r="I24" s="259"/>
      <c r="J24" s="259"/>
      <c r="K24" s="259" t="s">
        <v>578</v>
      </c>
      <c r="L24" s="259"/>
      <c r="M24" s="259"/>
      <c r="N24" s="259" t="s">
        <v>579</v>
      </c>
      <c r="O24" s="259"/>
      <c r="P24" s="259"/>
    </row>
    <row r="25" spans="1:19" s="310" customFormat="1" x14ac:dyDescent="0.15">
      <c r="A25" s="678" t="s">
        <v>581</v>
      </c>
      <c r="B25" s="679">
        <v>1</v>
      </c>
      <c r="C25" s="679"/>
      <c r="D25" s="679"/>
      <c r="E25" s="679">
        <f>1/0.795</f>
        <v>1.2578616352201257</v>
      </c>
      <c r="F25" s="679"/>
      <c r="G25" s="679"/>
      <c r="H25" s="679">
        <v>1.05</v>
      </c>
      <c r="I25" s="679"/>
      <c r="J25" s="679"/>
      <c r="K25" s="679">
        <v>1.1000000000000001</v>
      </c>
      <c r="L25" s="679"/>
      <c r="M25" s="679"/>
      <c r="N25" s="679">
        <v>1</v>
      </c>
      <c r="O25" s="680"/>
      <c r="P25" s="680"/>
    </row>
    <row r="26" spans="1:19" x14ac:dyDescent="0.15">
      <c r="I26" s="264"/>
      <c r="J26" s="264"/>
    </row>
    <row r="27" spans="1:19" s="308" customFormat="1" x14ac:dyDescent="0.15">
      <c r="B27" s="235"/>
      <c r="C27" s="235"/>
      <c r="D27" s="235"/>
      <c r="E27" s="235"/>
      <c r="F27" s="235"/>
      <c r="G27" s="235"/>
      <c r="H27" s="235"/>
      <c r="I27" s="235"/>
      <c r="J27" s="235"/>
      <c r="K27" s="235"/>
      <c r="L27" s="235"/>
      <c r="M27" s="235"/>
      <c r="N27" s="235"/>
      <c r="O27" s="9"/>
      <c r="P27" s="9"/>
    </row>
    <row r="28" spans="1:19" ht="14" thickBot="1" x14ac:dyDescent="0.2">
      <c r="A28" s="330" t="s">
        <v>662</v>
      </c>
      <c r="B28" s="331"/>
      <c r="C28" s="331"/>
      <c r="D28" s="331"/>
      <c r="E28" s="331"/>
      <c r="F28" s="331"/>
      <c r="G28" s="331"/>
      <c r="H28" s="308"/>
    </row>
    <row r="29" spans="1:19" x14ac:dyDescent="0.15">
      <c r="A29" s="332" t="s">
        <v>663</v>
      </c>
      <c r="B29" s="333" t="s">
        <v>1</v>
      </c>
      <c r="C29" s="333" t="s">
        <v>2</v>
      </c>
      <c r="D29" s="337"/>
      <c r="E29" s="337"/>
      <c r="F29" s="337"/>
      <c r="G29" s="337"/>
      <c r="H29" s="308"/>
    </row>
    <row r="30" spans="1:19" x14ac:dyDescent="0.15">
      <c r="A30" s="315" t="s">
        <v>29</v>
      </c>
      <c r="B30" s="303">
        <f>SUM('Food requirements'!I140:I156,'Food requirements'!I158:I161,'Food requirements'!I163:I168,'Food requirements'!I197,'Food requirements'!I204:I209)</f>
        <v>504.85556155677114</v>
      </c>
      <c r="C30" s="328" t="s">
        <v>664</v>
      </c>
      <c r="D30" s="308"/>
      <c r="E30" s="324"/>
      <c r="F30" s="324"/>
      <c r="G30" s="324"/>
      <c r="H30" s="308"/>
    </row>
    <row r="31" spans="1:19" x14ac:dyDescent="0.15">
      <c r="A31" s="315" t="s">
        <v>665</v>
      </c>
      <c r="B31" s="303">
        <v>22919.98939099022</v>
      </c>
      <c r="C31" s="304" t="s">
        <v>666</v>
      </c>
      <c r="D31" s="326"/>
      <c r="E31" s="305"/>
      <c r="F31" s="305"/>
      <c r="G31" s="305"/>
      <c r="H31" s="338"/>
    </row>
    <row r="32" spans="1:19" x14ac:dyDescent="0.15">
      <c r="A32" s="315" t="s">
        <v>30</v>
      </c>
      <c r="B32" s="351">
        <f>B30/B31</f>
        <v>2.2026867157068947E-2</v>
      </c>
      <c r="C32" s="306"/>
      <c r="D32" s="310"/>
      <c r="E32" s="305"/>
      <c r="F32" s="305"/>
      <c r="G32" s="305"/>
      <c r="H32" s="338"/>
    </row>
    <row r="33" spans="1:8" x14ac:dyDescent="0.15">
      <c r="A33" s="313"/>
      <c r="B33" s="307"/>
      <c r="C33" s="317"/>
      <c r="D33" s="310"/>
      <c r="E33" s="310"/>
      <c r="F33" s="310"/>
      <c r="G33" s="310"/>
      <c r="H33" s="338"/>
    </row>
    <row r="34" spans="1:8" x14ac:dyDescent="0.15">
      <c r="A34" s="315" t="s">
        <v>32</v>
      </c>
      <c r="B34" s="303">
        <f>'Food requirements'!F173*365/454</f>
        <v>39.282488827381705</v>
      </c>
      <c r="C34" s="304" t="s">
        <v>667</v>
      </c>
      <c r="D34" s="310"/>
      <c r="E34" s="310"/>
      <c r="F34" s="310"/>
      <c r="G34" s="310"/>
      <c r="H34" s="339"/>
    </row>
    <row r="35" spans="1:8" x14ac:dyDescent="0.15">
      <c r="A35" s="315" t="s">
        <v>668</v>
      </c>
      <c r="B35" s="303">
        <v>343.53471237574132</v>
      </c>
      <c r="C35" s="304" t="s">
        <v>666</v>
      </c>
      <c r="D35" s="326"/>
      <c r="E35" s="305"/>
      <c r="F35" s="305"/>
      <c r="G35" s="305"/>
      <c r="H35" s="339"/>
    </row>
    <row r="36" spans="1:8" x14ac:dyDescent="0.15">
      <c r="A36" s="315" t="s">
        <v>669</v>
      </c>
      <c r="B36" s="303">
        <f>B32*B35</f>
        <v>7.5669934733423432</v>
      </c>
      <c r="C36" s="328" t="s">
        <v>670</v>
      </c>
      <c r="D36" s="308"/>
      <c r="E36" s="324"/>
      <c r="F36" s="324"/>
      <c r="G36" s="324"/>
      <c r="H36" s="339"/>
    </row>
    <row r="37" spans="1:8" x14ac:dyDescent="0.15">
      <c r="A37" s="315" t="s">
        <v>33</v>
      </c>
      <c r="B37" s="303">
        <f>IF(B34&gt;B36,B34-B36,0)</f>
        <v>31.715495354039362</v>
      </c>
      <c r="C37" s="328"/>
      <c r="D37" s="308"/>
      <c r="E37" s="324"/>
      <c r="F37" s="324"/>
      <c r="G37" s="324"/>
      <c r="H37" s="338"/>
    </row>
    <row r="38" spans="1:8" x14ac:dyDescent="0.15">
      <c r="A38" s="315" t="s">
        <v>34</v>
      </c>
      <c r="B38" s="343">
        <f>B36/SUM(B36:B37)</f>
        <v>0.19263019475659598</v>
      </c>
      <c r="C38" s="329"/>
      <c r="D38" s="325"/>
      <c r="E38" s="324"/>
      <c r="F38" s="324"/>
      <c r="G38" s="324"/>
    </row>
    <row r="39" spans="1:8" ht="14" thickBot="1" x14ac:dyDescent="0.2">
      <c r="A39" s="334" t="s">
        <v>35</v>
      </c>
      <c r="B39" s="344">
        <f>B37/SUM(B36:B37)</f>
        <v>0.80736980524340407</v>
      </c>
      <c r="C39" s="335"/>
      <c r="D39" s="335"/>
      <c r="E39" s="336"/>
      <c r="F39" s="336"/>
      <c r="G39" s="336"/>
    </row>
    <row r="40" spans="1:8" x14ac:dyDescent="0.15">
      <c r="A40" s="346"/>
      <c r="B40" s="347"/>
      <c r="C40" s="348"/>
      <c r="D40" s="347"/>
      <c r="E40" s="349"/>
      <c r="F40" s="349"/>
      <c r="G40" s="349"/>
    </row>
    <row r="41" spans="1:8" x14ac:dyDescent="0.15">
      <c r="A41" s="309"/>
      <c r="B41" s="345"/>
      <c r="C41" s="345"/>
      <c r="D41" s="345"/>
      <c r="E41" s="350"/>
      <c r="F41" s="350"/>
      <c r="G41" s="350"/>
    </row>
  </sheetData>
  <mergeCells count="1">
    <mergeCell ref="A2:M5"/>
  </mergeCells>
  <pageMargins left="0.7" right="0.7" top="0.75" bottom="0.75" header="0.3" footer="0.3"/>
  <pageSetup scale="43"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19"/>
  <sheetViews>
    <sheetView topLeftCell="A186" workbookViewId="0">
      <selection activeCell="D206" sqref="D206"/>
    </sheetView>
  </sheetViews>
  <sheetFormatPr baseColWidth="10" defaultColWidth="8.83203125" defaultRowHeight="13" x14ac:dyDescent="0.15"/>
  <cols>
    <col min="1" max="1" width="25.83203125" bestFit="1" customWidth="1"/>
    <col min="2" max="2" width="27.5" bestFit="1" customWidth="1"/>
    <col min="3" max="3" width="14.6640625" bestFit="1" customWidth="1"/>
    <col min="4" max="4" width="20" customWidth="1"/>
    <col min="5" max="5" width="18.1640625" customWidth="1"/>
    <col min="6" max="7" width="18.5" customWidth="1"/>
    <col min="8" max="8" width="18.83203125" customWidth="1"/>
    <col min="9" max="9" width="14.6640625" customWidth="1"/>
    <col min="10" max="10" width="152.6640625" customWidth="1"/>
  </cols>
  <sheetData>
    <row r="1" spans="1:10" ht="14" thickBot="1" x14ac:dyDescent="0.2">
      <c r="A1" s="1" t="s">
        <v>343</v>
      </c>
    </row>
    <row r="2" spans="1:10" x14ac:dyDescent="0.15">
      <c r="A2" s="918" t="s">
        <v>344</v>
      </c>
      <c r="B2" s="919"/>
      <c r="C2" s="919"/>
      <c r="D2" s="919"/>
      <c r="E2" s="919"/>
      <c r="F2" s="919"/>
      <c r="G2" s="919"/>
      <c r="H2" s="919"/>
      <c r="I2" s="920"/>
    </row>
    <row r="3" spans="1:10" x14ac:dyDescent="0.15">
      <c r="A3" s="921"/>
      <c r="B3" s="922"/>
      <c r="C3" s="922"/>
      <c r="D3" s="922"/>
      <c r="E3" s="922"/>
      <c r="F3" s="922"/>
      <c r="G3" s="922"/>
      <c r="H3" s="922"/>
      <c r="I3" s="923"/>
    </row>
    <row r="4" spans="1:10" ht="14" thickBot="1" x14ac:dyDescent="0.2">
      <c r="A4" s="924"/>
      <c r="B4" s="925"/>
      <c r="C4" s="925"/>
      <c r="D4" s="925"/>
      <c r="E4" s="925"/>
      <c r="F4" s="925"/>
      <c r="G4" s="925"/>
      <c r="H4" s="925"/>
      <c r="I4" s="926"/>
    </row>
    <row r="5" spans="1:10" x14ac:dyDescent="0.15">
      <c r="A5" s="2"/>
    </row>
    <row r="6" spans="1:10" ht="39" x14ac:dyDescent="0.15">
      <c r="A6" s="70" t="s">
        <v>3</v>
      </c>
      <c r="B6" s="71" t="s">
        <v>27</v>
      </c>
      <c r="C6" s="71" t="s">
        <v>59</v>
      </c>
      <c r="D6" s="82" t="s">
        <v>395</v>
      </c>
      <c r="E6" s="82" t="s">
        <v>396</v>
      </c>
      <c r="F6" s="82" t="s">
        <v>397</v>
      </c>
      <c r="G6" s="83" t="s">
        <v>398</v>
      </c>
      <c r="H6" s="83" t="s">
        <v>399</v>
      </c>
      <c r="I6" s="83" t="s">
        <v>400</v>
      </c>
      <c r="J6" s="760" t="s">
        <v>2</v>
      </c>
    </row>
    <row r="7" spans="1:10" x14ac:dyDescent="0.15">
      <c r="A7" s="15" t="s">
        <v>4</v>
      </c>
      <c r="B7" s="12" t="s">
        <v>60</v>
      </c>
      <c r="C7" s="12" t="s">
        <v>63</v>
      </c>
      <c r="D7" s="140">
        <f>Grain_intake*'Food preferences'!I7</f>
        <v>4.4445396824299843</v>
      </c>
      <c r="E7" s="79">
        <f>Grain_intake*'Food preferences'!I7*'Nutrient composition'!F7</f>
        <v>126.22492698101155</v>
      </c>
      <c r="F7" s="79">
        <f>E7*'Losses and waste'!I7*'Losses and waste'!J7*'Losses and waste'!K7*'Losses and waste'!L7</f>
        <v>179.29677127984596</v>
      </c>
      <c r="G7" s="80">
        <f>F7*'Processing conversions'!H7</f>
        <v>208.48461776726276</v>
      </c>
      <c r="H7" s="73">
        <f>G7*365</f>
        <v>76096.885485050909</v>
      </c>
      <c r="I7" s="756">
        <f>H7/454</f>
        <v>167.61428520936323</v>
      </c>
      <c r="J7" s="38"/>
    </row>
    <row r="8" spans="1:10" x14ac:dyDescent="0.15">
      <c r="A8" s="15" t="s">
        <v>4</v>
      </c>
      <c r="B8" s="12" t="s">
        <v>61</v>
      </c>
      <c r="C8" s="12" t="s">
        <v>63</v>
      </c>
      <c r="D8" s="140">
        <f>Grain_intake*'Food preferences'!I8</f>
        <v>0.33794678184389326</v>
      </c>
      <c r="E8" s="79">
        <f>Grain_intake*'Food preferences'!I8*'Nutrient composition'!F8</f>
        <v>9.597688604366569</v>
      </c>
      <c r="F8" s="79">
        <f>E8*'Losses and waste'!I8*'Losses and waste'!J8*'Losses and waste'!K8*'Losses and waste'!L8</f>
        <v>13.633080403929787</v>
      </c>
      <c r="G8" s="80">
        <f>F8*'Processing conversions'!H8</f>
        <v>18.675452608122995</v>
      </c>
      <c r="H8" s="73">
        <f t="shared" ref="H8:H77" si="0">G8*365</f>
        <v>6816.5402019648936</v>
      </c>
      <c r="I8" s="756">
        <f t="shared" ref="I8:I77" si="1">H8/454</f>
        <v>15.014405731200206</v>
      </c>
      <c r="J8" s="38"/>
    </row>
    <row r="9" spans="1:10" x14ac:dyDescent="0.15">
      <c r="A9" s="15" t="s">
        <v>4</v>
      </c>
      <c r="B9" s="13" t="s">
        <v>62</v>
      </c>
      <c r="C9" s="12" t="s">
        <v>63</v>
      </c>
      <c r="D9" s="140">
        <f>Grain_intake*'Food preferences'!I9</f>
        <v>0.87282137641253799</v>
      </c>
      <c r="E9" s="79">
        <f>Grain_intake*'Food preferences'!I9*'Nutrient composition'!F9</f>
        <v>24.788127090116078</v>
      </c>
      <c r="F9" s="79">
        <f>E9*'Losses and waste'!I9*'Losses and waste'!J9*'Losses and waste'!K9*'Losses and waste'!L9</f>
        <v>35.210407798460338</v>
      </c>
      <c r="G9" s="80">
        <f>F9*'Processing conversions'!H9</f>
        <v>47.517419431120565</v>
      </c>
      <c r="H9" s="73">
        <f t="shared" si="0"/>
        <v>17343.858092359005</v>
      </c>
      <c r="I9" s="756">
        <f t="shared" si="1"/>
        <v>38.2023305999097</v>
      </c>
      <c r="J9" s="38"/>
    </row>
    <row r="10" spans="1:10" x14ac:dyDescent="0.15">
      <c r="A10" s="15" t="s">
        <v>4</v>
      </c>
      <c r="B10" s="13" t="s">
        <v>54</v>
      </c>
      <c r="C10" s="12" t="s">
        <v>63</v>
      </c>
      <c r="D10" s="140">
        <f>Grain_intake*'Food preferences'!I10</f>
        <v>0.35626394134692435</v>
      </c>
      <c r="E10" s="79">
        <f>Grain_intake*'Food preferences'!I10*'Nutrient composition'!F10</f>
        <v>10.117895934252651</v>
      </c>
      <c r="F10" s="79">
        <f>E10*'Losses and waste'!I10*'Losses and waste'!J10*'Losses and waste'!K10*'Losses and waste'!L10</f>
        <v>14.372011270245244</v>
      </c>
      <c r="G10" s="80">
        <f>F10*'Processing conversions'!H10</f>
        <v>27.745195502403945</v>
      </c>
      <c r="H10" s="73">
        <f t="shared" si="0"/>
        <v>10126.996358377441</v>
      </c>
      <c r="I10" s="756">
        <f t="shared" si="1"/>
        <v>22.306159379685994</v>
      </c>
      <c r="J10" s="38"/>
    </row>
    <row r="11" spans="1:10" x14ac:dyDescent="0.15">
      <c r="A11" s="15" t="s">
        <v>4</v>
      </c>
      <c r="B11" s="13" t="s">
        <v>55</v>
      </c>
      <c r="C11" s="12" t="s">
        <v>63</v>
      </c>
      <c r="D11" s="140">
        <f>Grain_intake*'Food preferences'!I11</f>
        <v>0.2818087805710503</v>
      </c>
      <c r="E11" s="79">
        <f>Grain_intake*'Food preferences'!I11*'Nutrient composition'!F11</f>
        <v>8.0033693682178288</v>
      </c>
      <c r="F11" s="79">
        <f>E11*'Losses and waste'!I11*'Losses and waste'!J11*'Losses and waste'!K11*'Losses and waste'!L11</f>
        <v>11.368422398036691</v>
      </c>
      <c r="G11" s="80">
        <f>F11*'Processing conversions'!H11</f>
        <v>18.51534592514119</v>
      </c>
      <c r="H11" s="73">
        <f t="shared" si="0"/>
        <v>6758.1012626765341</v>
      </c>
      <c r="I11" s="756">
        <f t="shared" si="1"/>
        <v>14.885685600609106</v>
      </c>
      <c r="J11" s="38"/>
    </row>
    <row r="12" spans="1:10" x14ac:dyDescent="0.15">
      <c r="A12" s="15" t="s">
        <v>4</v>
      </c>
      <c r="B12" s="12" t="s">
        <v>56</v>
      </c>
      <c r="C12" s="12" t="s">
        <v>63</v>
      </c>
      <c r="D12" s="140">
        <f>Grain_intake*'Food preferences'!I12</f>
        <v>1.7366469229654225E-2</v>
      </c>
      <c r="E12" s="79">
        <f>Grain_intake*'Food preferences'!I12*'Nutrient composition'!F12</f>
        <v>0.49320772612217995</v>
      </c>
      <c r="F12" s="79">
        <f>E12*'Losses and waste'!I12*'Losses and waste'!J12*'Losses and waste'!K12*'Losses and waste'!L12</f>
        <v>0.70057915642355106</v>
      </c>
      <c r="G12" s="80">
        <f>F12*'Processing conversions'!H12</f>
        <v>0.80526339818798964</v>
      </c>
      <c r="H12" s="73">
        <f t="shared" si="0"/>
        <v>293.92114033861623</v>
      </c>
      <c r="I12" s="756">
        <f t="shared" si="1"/>
        <v>0.6474033928163353</v>
      </c>
      <c r="J12" s="38"/>
    </row>
    <row r="13" spans="1:10" x14ac:dyDescent="0.15">
      <c r="A13" s="15" t="s">
        <v>4</v>
      </c>
      <c r="B13" s="12" t="s">
        <v>36</v>
      </c>
      <c r="C13" s="12" t="s">
        <v>63</v>
      </c>
      <c r="D13" s="140">
        <f>Grain_intake*'Food preferences'!I13</f>
        <v>0.58535465476262161</v>
      </c>
      <c r="E13" s="79">
        <f>Grain_intake*'Food preferences'!I13*'Nutrient composition'!F13</f>
        <v>16.624072195258453</v>
      </c>
      <c r="F13" s="79">
        <f>E13*'Losses and waste'!I13*'Losses and waste'!J13*'Losses and waste'!K13*'Losses and waste'!L13</f>
        <v>23.613738913719395</v>
      </c>
      <c r="G13" s="80">
        <f>F13*'Processing conversions'!H13</f>
        <v>31.276475382409796</v>
      </c>
      <c r="H13" s="73">
        <f t="shared" si="0"/>
        <v>11415.913514579575</v>
      </c>
      <c r="I13" s="756">
        <f t="shared" si="1"/>
        <v>25.145183952818449</v>
      </c>
      <c r="J13" s="38"/>
    </row>
    <row r="14" spans="1:10" x14ac:dyDescent="0.15">
      <c r="A14" s="15" t="s">
        <v>4</v>
      </c>
      <c r="B14" s="13" t="s">
        <v>57</v>
      </c>
      <c r="C14" s="12" t="s">
        <v>63</v>
      </c>
      <c r="D14" s="140">
        <f>Grain_intake*'Food preferences'!I14</f>
        <v>9.9645732524768604E-2</v>
      </c>
      <c r="E14" s="79">
        <f>Grain_intake*'Food preferences'!I14*'Nutrient composition'!F14</f>
        <v>2.8299388037034281</v>
      </c>
      <c r="F14" s="79">
        <f>E14*'Losses and waste'!I14*'Losses and waste'!J14*'Losses and waste'!K14*'Losses and waste'!L14</f>
        <v>5.0247492963484168</v>
      </c>
      <c r="G14" s="80">
        <f>F14*'Processing conversions'!H14</f>
        <v>8.1306622918259173</v>
      </c>
      <c r="H14" s="73">
        <f t="shared" si="0"/>
        <v>2967.69173651646</v>
      </c>
      <c r="I14" s="756">
        <f t="shared" si="1"/>
        <v>6.5367659394635682</v>
      </c>
      <c r="J14" s="38"/>
    </row>
    <row r="15" spans="1:10" x14ac:dyDescent="0.15">
      <c r="A15" s="315" t="s">
        <v>4</v>
      </c>
      <c r="B15" s="13" t="s">
        <v>58</v>
      </c>
      <c r="C15" s="12" t="s">
        <v>63</v>
      </c>
      <c r="D15" s="140">
        <f>Grain_intake*'Food preferences'!I15</f>
        <v>1.4252580878565875E-2</v>
      </c>
      <c r="E15" s="79">
        <f>Grain_intake*'Food preferences'!I15*'Nutrient composition'!F15</f>
        <v>0.40477329695127084</v>
      </c>
      <c r="F15" s="79">
        <f>E15*'Losses and waste'!I15*'Losses and waste'!J15*'Losses and waste'!K15*'Losses and waste'!L15</f>
        <v>0.71870258691631894</v>
      </c>
      <c r="G15" s="371">
        <f>F15*'Processing conversions'!H15</f>
        <v>1.1499241390661104</v>
      </c>
      <c r="H15" s="372">
        <f t="shared" si="0"/>
        <v>419.72231075913027</v>
      </c>
      <c r="I15" s="756">
        <f t="shared" si="1"/>
        <v>0.92449848184830452</v>
      </c>
      <c r="J15" s="38"/>
    </row>
    <row r="16" spans="1:10" s="308" customFormat="1" x14ac:dyDescent="0.15">
      <c r="A16" s="162" t="s">
        <v>383</v>
      </c>
      <c r="B16" s="153"/>
      <c r="C16" s="174"/>
      <c r="D16" s="153"/>
      <c r="E16" s="153"/>
      <c r="F16" s="153"/>
      <c r="G16" s="153"/>
      <c r="H16" s="153"/>
      <c r="I16" s="153"/>
      <c r="J16" s="39"/>
    </row>
    <row r="17" spans="1:10" x14ac:dyDescent="0.15">
      <c r="A17" s="15" t="s">
        <v>79</v>
      </c>
      <c r="B17" s="15" t="s">
        <v>80</v>
      </c>
      <c r="C17" s="312" t="s">
        <v>429</v>
      </c>
      <c r="D17" s="140">
        <f>Dark_green_veg_intake*'Food preferences'!I16</f>
        <v>4.3483365772035973E-2</v>
      </c>
      <c r="E17" s="79">
        <f>Dark_green_veg_intake*'Food preferences'!I16*'Nutrient composition'!F17</f>
        <v>3.9569862852552737</v>
      </c>
      <c r="F17" s="79">
        <f>E17*'Losses and waste'!I17*'Losses and waste'!J17*'Losses and waste'!K17*'Losses and waste'!L17</f>
        <v>10.01032977635921</v>
      </c>
      <c r="G17" s="80">
        <f>F17*'Processing conversions'!H17</f>
        <v>10.01032977635921</v>
      </c>
      <c r="H17" s="73">
        <f t="shared" si="0"/>
        <v>3653.7703683711115</v>
      </c>
      <c r="I17" s="756">
        <f t="shared" si="1"/>
        <v>8.0479523532403334</v>
      </c>
      <c r="J17" s="38"/>
    </row>
    <row r="18" spans="1:10" x14ac:dyDescent="0.15">
      <c r="A18" s="15" t="s">
        <v>79</v>
      </c>
      <c r="B18" s="15" t="s">
        <v>80</v>
      </c>
      <c r="C18" s="312" t="s">
        <v>432</v>
      </c>
      <c r="D18" s="140">
        <f>Dark_green_veg_intake*'Food preferences'!I17</f>
        <v>1.6148975952944507E-2</v>
      </c>
      <c r="E18" s="79">
        <f>Dark_green_veg_intake*'Food preferences'!I17*'Nutrient composition'!F18</f>
        <v>2.5192402486593433</v>
      </c>
      <c r="F18" s="79">
        <f>E18*'Losses and waste'!I18*'Losses and waste'!J18*'Losses and waste'!K18*'Losses and waste'!L18</f>
        <v>4.243399430701178</v>
      </c>
      <c r="G18" s="80">
        <f>F18*'Processing conversions'!H18</f>
        <v>4.243399430701178</v>
      </c>
      <c r="H18" s="73">
        <f t="shared" si="0"/>
        <v>1548.84079220593</v>
      </c>
      <c r="I18" s="756">
        <f t="shared" si="1"/>
        <v>3.4115435951672466</v>
      </c>
      <c r="J18" s="38"/>
    </row>
    <row r="19" spans="1:10" x14ac:dyDescent="0.15">
      <c r="A19" s="14" t="s">
        <v>79</v>
      </c>
      <c r="B19" s="14" t="s">
        <v>81</v>
      </c>
      <c r="C19" s="312" t="s">
        <v>429</v>
      </c>
      <c r="D19" s="140">
        <f>Dark_green_veg_intake*'Food preferences'!I18</f>
        <v>5.6132523029653568E-3</v>
      </c>
      <c r="E19" s="79">
        <f>Dark_green_veg_intake*'Food preferences'!I18*'Nutrient composition'!F19</f>
        <v>0.20207708290675286</v>
      </c>
      <c r="F19" s="79">
        <f>E19*'Losses and waste'!I19*'Losses and waste'!J19*'Losses and waste'!K19*'Losses and waste'!L19</f>
        <v>0.8053028468867538</v>
      </c>
      <c r="G19" s="80">
        <f>F19*'Processing conversions'!H19</f>
        <v>0.8053028468867538</v>
      </c>
      <c r="H19" s="73">
        <f t="shared" si="0"/>
        <v>293.93553911366513</v>
      </c>
      <c r="I19" s="756">
        <f t="shared" si="1"/>
        <v>0.64743510817987915</v>
      </c>
      <c r="J19" s="38"/>
    </row>
    <row r="20" spans="1:10" x14ac:dyDescent="0.15">
      <c r="A20" s="14" t="s">
        <v>79</v>
      </c>
      <c r="B20" s="14" t="s">
        <v>82</v>
      </c>
      <c r="C20" s="312" t="s">
        <v>429</v>
      </c>
      <c r="D20" s="140">
        <f>Dark_green_veg_intake*'Food preferences'!I19</f>
        <v>2.8902634059638438E-3</v>
      </c>
      <c r="E20" s="79">
        <f>Dark_green_veg_intake*'Food preferences'!I19*'Nutrient composition'!F20</f>
        <v>0.14451317029819219</v>
      </c>
      <c r="F20" s="79">
        <f>E20*'Losses and waste'!I20*'Losses and waste'!J20*'Losses and waste'!K20*'Losses and waste'!L20</f>
        <v>0.57590334232737217</v>
      </c>
      <c r="G20" s="80">
        <f>F20*'Processing conversions'!H20</f>
        <v>0.57590334232737217</v>
      </c>
      <c r="H20" s="73">
        <f t="shared" si="0"/>
        <v>210.20471994949085</v>
      </c>
      <c r="I20" s="756">
        <f t="shared" si="1"/>
        <v>0.4630059910781737</v>
      </c>
      <c r="J20" s="38"/>
    </row>
    <row r="21" spans="1:10" x14ac:dyDescent="0.15">
      <c r="A21" s="15" t="s">
        <v>79</v>
      </c>
      <c r="B21" s="15" t="s">
        <v>83</v>
      </c>
      <c r="C21" s="312" t="s">
        <v>429</v>
      </c>
      <c r="D21" s="140">
        <f>Dark_green_veg_intake*'Food preferences'!I20</f>
        <v>2.1859663249003823E-3</v>
      </c>
      <c r="E21" s="79">
        <f>Dark_green_veg_intake*'Food preferences'!I20*'Nutrient composition'!F21</f>
        <v>0.14645974376832563</v>
      </c>
      <c r="F21" s="79">
        <f>E21*'Losses and waste'!I21*'Losses and waste'!J21*'Losses and waste'!K21*'Losses and waste'!L21</f>
        <v>0.56069860451390141</v>
      </c>
      <c r="G21" s="80">
        <f>F21*'Processing conversions'!H21</f>
        <v>0.56069860451390141</v>
      </c>
      <c r="H21" s="73">
        <f t="shared" si="0"/>
        <v>204.65499064757401</v>
      </c>
      <c r="I21" s="756">
        <f t="shared" si="1"/>
        <v>0.45078191772593396</v>
      </c>
      <c r="J21" s="38"/>
    </row>
    <row r="22" spans="1:10" x14ac:dyDescent="0.15">
      <c r="A22" s="15" t="s">
        <v>79</v>
      </c>
      <c r="B22" s="15" t="s">
        <v>84</v>
      </c>
      <c r="C22" s="312" t="s">
        <v>429</v>
      </c>
      <c r="D22" s="140">
        <f>Dark_green_veg_intake*'Food preferences'!I21</f>
        <v>0.15534291333507697</v>
      </c>
      <c r="E22" s="79">
        <f>Dark_green_veg_intake*'Food preferences'!I21*'Nutrient composition'!F22</f>
        <v>6.4467309034056939</v>
      </c>
      <c r="F22" s="79">
        <f>E22*'Losses and waste'!I22*'Losses and waste'!J22*'Losses and waste'!K22*'Losses and waste'!L22</f>
        <v>12.687178036055831</v>
      </c>
      <c r="G22" s="80">
        <f>F22*'Processing conversions'!H22</f>
        <v>12.687178036055831</v>
      </c>
      <c r="H22" s="73">
        <f t="shared" si="0"/>
        <v>4630.8199831603788</v>
      </c>
      <c r="I22" s="756">
        <f t="shared" si="1"/>
        <v>10.200044015771759</v>
      </c>
      <c r="J22" s="38"/>
    </row>
    <row r="23" spans="1:10" x14ac:dyDescent="0.15">
      <c r="A23" s="15" t="s">
        <v>79</v>
      </c>
      <c r="B23" s="15" t="s">
        <v>85</v>
      </c>
      <c r="C23" s="312" t="s">
        <v>429</v>
      </c>
      <c r="D23" s="140">
        <f>Dark_green_veg_intake*'Food preferences'!I22</f>
        <v>3.2043447168852799E-3</v>
      </c>
      <c r="E23" s="79">
        <f>Dark_green_veg_intake*'Food preferences'!I22*'Nutrient composition'!F23</f>
        <v>0.17944330414557569</v>
      </c>
      <c r="F23" s="79">
        <f>E23*'Losses and waste'!I23*'Losses and waste'!J23*'Losses and waste'!K23*'Losses and waste'!L23</f>
        <v>0.75385388912938056</v>
      </c>
      <c r="G23" s="80">
        <f>F23*'Processing conversions'!H23</f>
        <v>0.75385388912938056</v>
      </c>
      <c r="H23" s="73">
        <f t="shared" si="0"/>
        <v>275.15666953222393</v>
      </c>
      <c r="I23" s="756">
        <f t="shared" si="1"/>
        <v>0.60607195932207913</v>
      </c>
      <c r="J23" s="38"/>
    </row>
    <row r="24" spans="1:10" x14ac:dyDescent="0.15">
      <c r="A24" s="15" t="s">
        <v>79</v>
      </c>
      <c r="B24" s="15" t="s">
        <v>86</v>
      </c>
      <c r="C24" s="312" t="s">
        <v>429</v>
      </c>
      <c r="D24" s="140">
        <f>Dark_green_veg_intake*'Food preferences'!I23</f>
        <v>2.4354668693609062E-2</v>
      </c>
      <c r="E24" s="79">
        <f>Dark_green_veg_intake*'Food preferences'!I23*'Nutrient composition'!F24</f>
        <v>0.73064006080827182</v>
      </c>
      <c r="F24" s="79">
        <f>E24*'Losses and waste'!I24*'Losses and waste'!J24*'Losses and waste'!K24*'Losses and waste'!L24</f>
        <v>1.6838138396611637</v>
      </c>
      <c r="G24" s="80">
        <f>F24*'Processing conversions'!H24</f>
        <v>1.6838138396611637</v>
      </c>
      <c r="H24" s="73">
        <f t="shared" si="0"/>
        <v>614.59205147632474</v>
      </c>
      <c r="I24" s="756">
        <f t="shared" si="1"/>
        <v>1.3537269856306713</v>
      </c>
      <c r="J24" s="38"/>
    </row>
    <row r="25" spans="1:10" x14ac:dyDescent="0.15">
      <c r="A25" s="15" t="s">
        <v>79</v>
      </c>
      <c r="B25" s="15" t="s">
        <v>86</v>
      </c>
      <c r="C25" s="312" t="s">
        <v>432</v>
      </c>
      <c r="D25" s="140">
        <f>Dark_green_veg_intake*'Food preferences'!I24</f>
        <v>3.2592638460966048E-3</v>
      </c>
      <c r="E25" s="79">
        <f>Dark_green_veg_intake*'Food preferences'!I24*'Nutrient composition'!F25</f>
        <v>0.50844515999107032</v>
      </c>
      <c r="F25" s="79">
        <f>E25*'Losses and waste'!I25*'Losses and waste'!J25*'Losses and waste'!K25*'Losses and waste'!L25</f>
        <v>1.0045279163643774</v>
      </c>
      <c r="G25" s="80">
        <f>F25*'Processing conversions'!H25</f>
        <v>1.0045279163643774</v>
      </c>
      <c r="H25" s="73">
        <f t="shared" si="0"/>
        <v>366.65268947299779</v>
      </c>
      <c r="I25" s="756">
        <f t="shared" si="1"/>
        <v>0.80760504289206558</v>
      </c>
      <c r="J25" s="38"/>
    </row>
    <row r="26" spans="1:10" x14ac:dyDescent="0.15">
      <c r="A26" s="315" t="s">
        <v>79</v>
      </c>
      <c r="B26" s="315" t="s">
        <v>87</v>
      </c>
      <c r="C26" s="99" t="s">
        <v>429</v>
      </c>
      <c r="D26" s="140">
        <f>Dark_green_veg_intake*'Food preferences'!I25</f>
        <v>3.5169856495220349E-3</v>
      </c>
      <c r="E26" s="79">
        <f>Dark_green_veg_intake*'Food preferences'!I25*'Nutrient composition'!F26</f>
        <v>0.19343421072371192</v>
      </c>
      <c r="F26" s="79">
        <f>E26*'Losses and waste'!I26*'Losses and waste'!J26*'Losses and waste'!K26*'Losses and waste'!L26</f>
        <v>0.66497539167704545</v>
      </c>
      <c r="G26" s="371">
        <f>F26*'Processing conversions'!H26</f>
        <v>0.66497539167704545</v>
      </c>
      <c r="H26" s="372">
        <f t="shared" si="0"/>
        <v>242.71601796212158</v>
      </c>
      <c r="I26" s="756">
        <f t="shared" si="1"/>
        <v>0.53461677965225018</v>
      </c>
      <c r="J26" s="38"/>
    </row>
    <row r="27" spans="1:10" s="308" customFormat="1" x14ac:dyDescent="0.15">
      <c r="A27" s="162" t="s">
        <v>693</v>
      </c>
      <c r="B27" s="153"/>
      <c r="C27" s="178"/>
      <c r="D27" s="153"/>
      <c r="E27" s="153"/>
      <c r="F27" s="153"/>
      <c r="G27" s="153"/>
      <c r="H27" s="153"/>
      <c r="I27" s="153"/>
      <c r="J27" s="39"/>
    </row>
    <row r="28" spans="1:10" x14ac:dyDescent="0.15">
      <c r="A28" s="68" t="s">
        <v>1224</v>
      </c>
      <c r="B28" s="15" t="s">
        <v>89</v>
      </c>
      <c r="C28" s="312" t="s">
        <v>429</v>
      </c>
      <c r="D28" s="140">
        <f>Orange_veg_intake*'Food preferences'!I26</f>
        <v>0.14375115876228636</v>
      </c>
      <c r="E28" s="79">
        <f>Orange_veg_intake*'Food preferences'!I26*'Nutrient composition'!F28</f>
        <v>18.400148321572654</v>
      </c>
      <c r="F28" s="79">
        <f>E28*'Losses and waste'!I28*'Losses and waste'!J28*'Losses and waste'!K28*'Losses and waste'!L28</f>
        <v>28.085715142902654</v>
      </c>
      <c r="G28" s="80">
        <f>F28*'Processing conversions'!H28</f>
        <v>28.085715142902654</v>
      </c>
      <c r="H28" s="73">
        <f t="shared" si="0"/>
        <v>10251.286027159469</v>
      </c>
      <c r="I28" s="756">
        <f t="shared" si="1"/>
        <v>22.579925169954777</v>
      </c>
      <c r="J28" s="38"/>
    </row>
    <row r="29" spans="1:10" x14ac:dyDescent="0.15">
      <c r="A29" s="68" t="s">
        <v>1224</v>
      </c>
      <c r="B29" s="15" t="s">
        <v>89</v>
      </c>
      <c r="C29" s="312" t="s">
        <v>431</v>
      </c>
      <c r="D29" s="140">
        <f>Orange_veg_intake*'Food preferences'!I27</f>
        <v>1.5062845127109523E-2</v>
      </c>
      <c r="E29" s="79">
        <f>Orange_veg_intake*'Food preferences'!I27*'Nutrient composition'!F29</f>
        <v>3.4343286889809712</v>
      </c>
      <c r="F29" s="79">
        <f>E29*'Losses and waste'!I29*'Losses and waste'!J29*'Losses and waste'!K29*'Losses and waste'!L29</f>
        <v>5.4126535681339174</v>
      </c>
      <c r="G29" s="80">
        <f>F29*'Processing conversions'!H29</f>
        <v>5.4126535681339174</v>
      </c>
      <c r="H29" s="73">
        <f t="shared" si="0"/>
        <v>1975.6185523688798</v>
      </c>
      <c r="I29" s="756">
        <f t="shared" si="1"/>
        <v>4.3515827144688979</v>
      </c>
      <c r="J29" s="38"/>
    </row>
    <row r="30" spans="1:10" x14ac:dyDescent="0.15">
      <c r="A30" s="68" t="s">
        <v>1224</v>
      </c>
      <c r="B30" s="15" t="s">
        <v>89</v>
      </c>
      <c r="C30" s="312" t="s">
        <v>432</v>
      </c>
      <c r="D30" s="140">
        <f>Orange_veg_intake*'Food preferences'!I28</f>
        <v>1.699919609678999E-2</v>
      </c>
      <c r="E30" s="79">
        <f>Orange_veg_intake*'Food preferences'!I28*'Nutrient composition'!F30</f>
        <v>2.4818826301313388</v>
      </c>
      <c r="F30" s="79">
        <f>E30*'Losses and waste'!I30*'Losses and waste'!J30*'Losses and waste'!K30*'Losses and waste'!L30</f>
        <v>5.4606273015835844</v>
      </c>
      <c r="G30" s="80">
        <f>F30*'Processing conversions'!H30</f>
        <v>5.4606273015835844</v>
      </c>
      <c r="H30" s="73">
        <f t="shared" si="0"/>
        <v>1993.1289650780084</v>
      </c>
      <c r="I30" s="756">
        <f t="shared" si="1"/>
        <v>4.3901519054581684</v>
      </c>
      <c r="J30" s="38"/>
    </row>
    <row r="31" spans="1:10" x14ac:dyDescent="0.15">
      <c r="A31" s="68" t="s">
        <v>1224</v>
      </c>
      <c r="B31" s="15" t="s">
        <v>90</v>
      </c>
      <c r="C31" s="312" t="s">
        <v>429</v>
      </c>
      <c r="D31" s="140">
        <f>Orange_veg_intake*'Food preferences'!I29</f>
        <v>5.7414631746026901E-2</v>
      </c>
      <c r="E31" s="79">
        <f>Orange_veg_intake*'Food preferences'!I29*'Nutrient composition'!F31</f>
        <v>6.6600972825391205</v>
      </c>
      <c r="F31" s="79">
        <f>E31*'Losses and waste'!I31*'Losses and waste'!J31*'Losses and waste'!K31*'Losses and waste'!L31</f>
        <v>14.887131012796468</v>
      </c>
      <c r="G31" s="80">
        <f>F31*'Processing conversions'!H31</f>
        <v>14.887131012796468</v>
      </c>
      <c r="H31" s="73">
        <f t="shared" si="0"/>
        <v>5433.802819670711</v>
      </c>
      <c r="I31" s="756">
        <f t="shared" si="1"/>
        <v>11.968728677688791</v>
      </c>
      <c r="J31" s="38"/>
    </row>
    <row r="32" spans="1:10" x14ac:dyDescent="0.15">
      <c r="A32" s="68" t="s">
        <v>1224</v>
      </c>
      <c r="B32" s="15" t="s">
        <v>91</v>
      </c>
      <c r="C32" s="312" t="s">
        <v>429</v>
      </c>
      <c r="D32" s="140">
        <f>Orange_veg_intake*'Food preferences'!I30</f>
        <v>3.3749916020151934E-2</v>
      </c>
      <c r="E32" s="79">
        <f>Orange_veg_intake*'Food preferences'!I30*'Nutrient composition'!F32</f>
        <v>4.7249882428212704</v>
      </c>
      <c r="F32" s="79">
        <f>E32*'Losses and waste'!I32*'Losses and waste'!J32*'Losses and waste'!K32*'Losses and waste'!L32</f>
        <v>9.0329954983754295</v>
      </c>
      <c r="G32" s="80">
        <f>F32*'Processing conversions'!H32</f>
        <v>9.0329954983754295</v>
      </c>
      <c r="H32" s="73">
        <f t="shared" si="0"/>
        <v>3297.0433569070319</v>
      </c>
      <c r="I32" s="756">
        <f t="shared" si="1"/>
        <v>7.2622100372401581</v>
      </c>
      <c r="J32" s="38"/>
    </row>
    <row r="33" spans="1:10" x14ac:dyDescent="0.15">
      <c r="A33" s="68" t="s">
        <v>1224</v>
      </c>
      <c r="B33" s="315" t="s">
        <v>92</v>
      </c>
      <c r="C33" s="99" t="s">
        <v>429</v>
      </c>
      <c r="D33" s="140">
        <f>Orange_veg_intake*'Food preferences'!I31</f>
        <v>3.5134828555745998E-2</v>
      </c>
      <c r="E33" s="79">
        <f>Orange_veg_intake*'Food preferences'!I31*'Nutrient composition'!F33</f>
        <v>4.6729321979142178</v>
      </c>
      <c r="F33" s="79">
        <f>E33*'Losses and waste'!I33*'Losses and waste'!J33*'Losses and waste'!K33*'Losses and waste'!L33</f>
        <v>12.178087296892093</v>
      </c>
      <c r="G33" s="371">
        <f>F33*'Processing conversions'!H33</f>
        <v>12.178087296892093</v>
      </c>
      <c r="H33" s="372">
        <f t="shared" si="0"/>
        <v>4445.0018633656136</v>
      </c>
      <c r="I33" s="756">
        <f t="shared" si="1"/>
        <v>9.7907530030079588</v>
      </c>
      <c r="J33" s="38"/>
    </row>
    <row r="34" spans="1:10" s="308" customFormat="1" x14ac:dyDescent="0.15">
      <c r="A34" s="68" t="s">
        <v>1224</v>
      </c>
      <c r="B34" s="315" t="s">
        <v>121</v>
      </c>
      <c r="C34" s="99" t="s">
        <v>429</v>
      </c>
      <c r="D34" s="140">
        <f>Orange_veg_intake*'Food preferences'!I32</f>
        <v>0.19233432286990135</v>
      </c>
      <c r="E34" s="79">
        <f>Orange_veg_intake*'Food preferences'!I32*'Nutrient composition'!F34</f>
        <v>28.657814107615302</v>
      </c>
      <c r="F34" s="79">
        <f>E34*'Losses and waste'!I34*'Losses and waste'!J34*'Losses and waste'!K34*'Losses and waste'!L34</f>
        <v>53.343735263114169</v>
      </c>
      <c r="G34" s="371">
        <f>F34*'Processing conversions'!H34</f>
        <v>53.343735263114169</v>
      </c>
      <c r="H34" s="372">
        <f t="shared" ref="H34:H35" si="2">G34*365</f>
        <v>19470.463371036672</v>
      </c>
      <c r="I34" s="756">
        <f t="shared" ref="I34:I35" si="3">H34/454</f>
        <v>42.886483196116018</v>
      </c>
      <c r="J34" s="38"/>
    </row>
    <row r="35" spans="1:10" s="308" customFormat="1" x14ac:dyDescent="0.15">
      <c r="A35" s="68" t="s">
        <v>1224</v>
      </c>
      <c r="B35" s="315" t="s">
        <v>121</v>
      </c>
      <c r="C35" s="99" t="s">
        <v>431</v>
      </c>
      <c r="D35" s="140">
        <f>Orange_veg_intake*'Food preferences'!I33</f>
        <v>0.32555310082198791</v>
      </c>
      <c r="E35" s="79">
        <f>Orange_veg_intake*'Food preferences'!I33*'Nutrient composition'!F35</f>
        <v>83.016040709606912</v>
      </c>
      <c r="F35" s="79">
        <f>E35*'Losses and waste'!I35*'Losses and waste'!J35*'Losses and waste'!K35*'Losses and waste'!L35</f>
        <v>239.3358724257825</v>
      </c>
      <c r="G35" s="371">
        <f>F35*'Processing conversions'!H35</f>
        <v>239.3358724257825</v>
      </c>
      <c r="H35" s="372">
        <f t="shared" si="2"/>
        <v>87357.593435410614</v>
      </c>
      <c r="I35" s="756">
        <f t="shared" si="3"/>
        <v>192.41760668592647</v>
      </c>
      <c r="J35" s="38"/>
    </row>
    <row r="36" spans="1:10" s="308" customFormat="1" x14ac:dyDescent="0.15">
      <c r="A36" s="162" t="s">
        <v>694</v>
      </c>
      <c r="B36" s="153"/>
      <c r="C36" s="178"/>
      <c r="D36" s="153"/>
      <c r="E36" s="153"/>
      <c r="F36" s="153"/>
      <c r="G36" s="153"/>
      <c r="H36" s="153"/>
      <c r="I36" s="153"/>
      <c r="J36" s="39"/>
    </row>
    <row r="37" spans="1:10" s="310" customFormat="1" ht="15" x14ac:dyDescent="0.15">
      <c r="A37" s="15" t="s">
        <v>93</v>
      </c>
      <c r="B37" s="15" t="s">
        <v>1017</v>
      </c>
      <c r="C37" s="312" t="s">
        <v>517</v>
      </c>
      <c r="D37" s="140">
        <f>Dry_legumes_forvegetables_intake*'Food preferences'!I34</f>
        <v>0.22540606771144039</v>
      </c>
      <c r="E37" s="79">
        <f>Dry_legumes_forvegetables_intake*'Food preferences'!I34*'Nutrient composition'!F37</f>
        <v>39.310818208875205</v>
      </c>
      <c r="F37" s="733">
        <f>E37*(('Nutrient composition'!F37-'Nutrient composition'!G37)/'Nutrient composition'!F37)*'Losses and waste'!I37*'Losses and waste'!J37*'Losses and waste'!K37*'Losses and waste'!L37*1.14</f>
        <v>17.920435900793411</v>
      </c>
      <c r="G37" s="80">
        <f>F37*'Processing conversions'!H37</f>
        <v>17.920435900793411</v>
      </c>
      <c r="H37" s="73">
        <f t="shared" si="0"/>
        <v>6540.9591037895952</v>
      </c>
      <c r="I37" s="756">
        <f t="shared" si="1"/>
        <v>14.40739890702554</v>
      </c>
      <c r="J37" s="472" t="s">
        <v>1289</v>
      </c>
    </row>
    <row r="38" spans="1:10" s="310" customFormat="1" ht="15" x14ac:dyDescent="0.15">
      <c r="A38" s="25" t="s">
        <v>93</v>
      </c>
      <c r="B38" s="25" t="s">
        <v>1018</v>
      </c>
      <c r="C38" s="34" t="s">
        <v>517</v>
      </c>
      <c r="D38" s="141">
        <f>Dry_legumes_forvegetables_intake*'Food preferences'!I35</f>
        <v>3.4593932288559649E-2</v>
      </c>
      <c r="E38" s="10">
        <f>Dry_legumes_forvegetables_intake*'Food preferences'!I35*'Nutrient composition'!F38</f>
        <v>6.8150046608462507</v>
      </c>
      <c r="F38" s="735">
        <f>E38*(('Nutrient composition'!F38-'Nutrient composition'!G38)/'Nutrient composition'!F38)*'Losses and waste'!I38*'Losses and waste'!J38*'Losses and waste'!K38*'Losses and waste'!L38*1.14</f>
        <v>2.7949494114923805</v>
      </c>
      <c r="G38" s="84">
        <f>F38*'Processing conversions'!H38</f>
        <v>2.7949494114923805</v>
      </c>
      <c r="H38" s="85">
        <f t="shared" si="0"/>
        <v>1020.1565351947189</v>
      </c>
      <c r="I38" s="757">
        <f t="shared" si="1"/>
        <v>2.2470408264200858</v>
      </c>
      <c r="J38" s="476" t="s">
        <v>1289</v>
      </c>
    </row>
    <row r="39" spans="1:10" x14ac:dyDescent="0.15">
      <c r="A39" s="15" t="s">
        <v>97</v>
      </c>
      <c r="B39" s="15" t="s">
        <v>101</v>
      </c>
      <c r="C39" s="312" t="s">
        <v>431</v>
      </c>
      <c r="D39" s="140">
        <f>Starchy_veg_intake*'Food preferences'!I36</f>
        <v>7.8118497868043778E-3</v>
      </c>
      <c r="E39" s="79">
        <f>Starchy_veg_intake*'Food preferences'!I36*'Nutrient composition'!F39</f>
        <v>1.1327182190866347</v>
      </c>
      <c r="F39" s="79">
        <f>E39*'Losses and waste'!I39*'Losses and waste'!J39*'Losses and waste'!K39*'Losses and waste'!L39</f>
        <v>2.0286521582610408</v>
      </c>
      <c r="G39" s="80">
        <f>F39*'Processing conversions'!H39</f>
        <v>2.0286521582610408</v>
      </c>
      <c r="H39" s="73">
        <f>G39*365</f>
        <v>740.45803776527987</v>
      </c>
      <c r="I39" s="756">
        <f t="shared" si="1"/>
        <v>1.6309648408926869</v>
      </c>
      <c r="J39" s="38"/>
    </row>
    <row r="40" spans="1:10" x14ac:dyDescent="0.15">
      <c r="A40" s="15" t="s">
        <v>97</v>
      </c>
      <c r="B40" s="15" t="s">
        <v>101</v>
      </c>
      <c r="C40" s="312" t="s">
        <v>432</v>
      </c>
      <c r="D40" s="140">
        <f>Starchy_veg_intake*'Food preferences'!I37</f>
        <v>1.755580575071667E-2</v>
      </c>
      <c r="E40" s="79">
        <f>Starchy_veg_intake*'Food preferences'!I37*'Nutrient composition'!F40</f>
        <v>2.3524779705960337</v>
      </c>
      <c r="F40" s="79">
        <f>E40*'Losses and waste'!I40*'Losses and waste'!J40*'Losses and waste'!K40*'Losses and waste'!L40</f>
        <v>3.28659872009138</v>
      </c>
      <c r="G40" s="80">
        <f>F40*'Processing conversions'!H40</f>
        <v>3.28659872009138</v>
      </c>
      <c r="H40" s="73">
        <f t="shared" si="0"/>
        <v>1199.6085328333536</v>
      </c>
      <c r="I40" s="756">
        <f t="shared" si="1"/>
        <v>2.6423095436858008</v>
      </c>
      <c r="J40" s="38"/>
    </row>
    <row r="41" spans="1:10" x14ac:dyDescent="0.15">
      <c r="A41" s="15" t="s">
        <v>97</v>
      </c>
      <c r="B41" s="15" t="s">
        <v>98</v>
      </c>
      <c r="C41" s="312" t="s">
        <v>429</v>
      </c>
      <c r="D41" s="140">
        <f>Starchy_veg_intake*'Food preferences'!I38</f>
        <v>7.5017793613134766E-5</v>
      </c>
      <c r="E41" s="79">
        <f>Starchy_veg_intake*'Food preferences'!I38*'Nutrient composition'!F41</f>
        <v>1.4103345199269337E-2</v>
      </c>
      <c r="F41" s="79">
        <f>E41*'Losses and waste'!I41*'Losses and waste'!J41*'Losses and waste'!K41*'Losses and waste'!L41</f>
        <v>4.9489033583045156E-2</v>
      </c>
      <c r="G41" s="80">
        <f>F41*'Processing conversions'!H41</f>
        <v>4.9489033583045156E-2</v>
      </c>
      <c r="H41" s="73">
        <f t="shared" si="0"/>
        <v>18.063497257811481</v>
      </c>
      <c r="I41" s="756">
        <f t="shared" si="1"/>
        <v>3.9787438893857885E-2</v>
      </c>
      <c r="J41" s="38"/>
    </row>
    <row r="42" spans="1:10" x14ac:dyDescent="0.15">
      <c r="A42" s="15" t="s">
        <v>97</v>
      </c>
      <c r="B42" s="15" t="s">
        <v>98</v>
      </c>
      <c r="C42" s="312" t="s">
        <v>432</v>
      </c>
      <c r="D42" s="140">
        <f>Starchy_veg_intake*'Food preferences'!I39</f>
        <v>2.536303264914312E-3</v>
      </c>
      <c r="E42" s="79">
        <f>Starchy_veg_intake*'Food preferences'!I39*'Nutrient composition'!F42</f>
        <v>0.40580852238628995</v>
      </c>
      <c r="F42" s="79">
        <f>E42*'Losses and waste'!I42*'Losses and waste'!J42*'Losses and waste'!K42*'Losses and waste'!L42</f>
        <v>0.66661287313142137</v>
      </c>
      <c r="G42" s="80">
        <f>F42*'Processing conversions'!H42</f>
        <v>0.66661287313142137</v>
      </c>
      <c r="H42" s="73">
        <f t="shared" si="0"/>
        <v>243.31369869296881</v>
      </c>
      <c r="I42" s="756">
        <f t="shared" si="1"/>
        <v>0.5359332570329709</v>
      </c>
      <c r="J42" s="38"/>
    </row>
    <row r="43" spans="1:10" x14ac:dyDescent="0.15">
      <c r="A43" s="15" t="s">
        <v>97</v>
      </c>
      <c r="B43" s="15" t="s">
        <v>99</v>
      </c>
      <c r="C43" s="312" t="s">
        <v>429</v>
      </c>
      <c r="D43" s="140">
        <f>Starchy_veg_intake*'Food preferences'!I40</f>
        <v>0.33929042987660235</v>
      </c>
      <c r="E43" s="79">
        <f>Starchy_veg_intake*'Food preferences'!I40*'Nutrient composition'!F43</f>
        <v>72.2688615637163</v>
      </c>
      <c r="F43" s="79">
        <f>E43*'Losses and waste'!I43*'Losses and waste'!J43*'Losses and waste'!K43*'Losses and waste'!L43</f>
        <v>115.01820171654447</v>
      </c>
      <c r="G43" s="80">
        <f>F43*'Processing conversions'!H43</f>
        <v>115.01820171654447</v>
      </c>
      <c r="H43" s="73">
        <f t="shared" si="0"/>
        <v>41981.643626538731</v>
      </c>
      <c r="I43" s="756">
        <f t="shared" si="1"/>
        <v>92.47058067519545</v>
      </c>
      <c r="J43" s="38"/>
    </row>
    <row r="44" spans="1:10" x14ac:dyDescent="0.15">
      <c r="A44" s="15" t="s">
        <v>97</v>
      </c>
      <c r="B44" s="15" t="s">
        <v>99</v>
      </c>
      <c r="C44" s="312" t="s">
        <v>431</v>
      </c>
      <c r="D44" s="140">
        <f>Starchy_veg_intake*'Food preferences'!I41</f>
        <v>6.2125082608696716E-3</v>
      </c>
      <c r="E44" s="79">
        <f>Starchy_veg_intake*'Food preferences'!I41*'Nutrient composition'!F44</f>
        <v>1.118251486956541</v>
      </c>
      <c r="F44" s="79">
        <f>E44*'Losses and waste'!I44*'Losses and waste'!J44*'Losses and waste'!K44*'Losses and waste'!L44</f>
        <v>1.8617046031973845</v>
      </c>
      <c r="G44" s="80">
        <f>F44*'Processing conversions'!H44</f>
        <v>1.8617046031973845</v>
      </c>
      <c r="H44" s="73">
        <f t="shared" si="0"/>
        <v>679.52218016704535</v>
      </c>
      <c r="I44" s="756">
        <f t="shared" si="1"/>
        <v>1.4967448902357827</v>
      </c>
      <c r="J44" s="38"/>
    </row>
    <row r="45" spans="1:10" x14ac:dyDescent="0.15">
      <c r="A45" s="15" t="s">
        <v>97</v>
      </c>
      <c r="B45" s="15" t="s">
        <v>99</v>
      </c>
      <c r="C45" s="312" t="s">
        <v>432</v>
      </c>
      <c r="D45" s="140">
        <f>Starchy_veg_intake*'Food preferences'!I42</f>
        <v>0.20102322189922184</v>
      </c>
      <c r="E45" s="79">
        <f>Starchy_veg_intake*'Food preferences'!I42*'Nutrient composition'!F45</f>
        <v>36.586226385658378</v>
      </c>
      <c r="F45" s="79">
        <f>E45*'Losses and waste'!I45*'Losses and waste'!J45*'Losses and waste'!K45*'Losses and waste'!L45</f>
        <v>114.47505126926903</v>
      </c>
      <c r="G45" s="80">
        <f>F45*'Processing conversions'!H45</f>
        <v>114.47505126926903</v>
      </c>
      <c r="H45" s="73">
        <f t="shared" si="0"/>
        <v>41783.3937132832</v>
      </c>
      <c r="I45" s="756">
        <f t="shared" si="1"/>
        <v>92.033906857451981</v>
      </c>
      <c r="J45" s="38"/>
    </row>
    <row r="46" spans="1:10" x14ac:dyDescent="0.15">
      <c r="A46" s="15" t="s">
        <v>97</v>
      </c>
      <c r="B46" s="15" t="s">
        <v>99</v>
      </c>
      <c r="C46" s="312" t="s">
        <v>518</v>
      </c>
      <c r="D46" s="140">
        <f>Starchy_veg_intake*'Food preferences'!I43</f>
        <v>0.13365119623250846</v>
      </c>
      <c r="E46" s="79">
        <f>Starchy_veg_intake*'Food preferences'!I43*'Nutrient composition'!F46</f>
        <v>8.0190717739505075</v>
      </c>
      <c r="F46" s="79">
        <f>E46*'Losses and waste'!I46*'Losses and waste'!J46*'Losses and waste'!K46*'Losses and waste'!L46</f>
        <v>67.705773167430834</v>
      </c>
      <c r="G46" s="80">
        <f>F46*'Processing conversions'!H46</f>
        <v>67.705773167430834</v>
      </c>
      <c r="H46" s="73">
        <f t="shared" si="0"/>
        <v>24712.607206112254</v>
      </c>
      <c r="I46" s="756">
        <f t="shared" si="1"/>
        <v>54.433055520071044</v>
      </c>
      <c r="J46" s="38"/>
    </row>
    <row r="47" spans="1:10" x14ac:dyDescent="0.15">
      <c r="A47" s="15" t="s">
        <v>97</v>
      </c>
      <c r="B47" s="15" t="s">
        <v>100</v>
      </c>
      <c r="C47" s="312" t="s">
        <v>429</v>
      </c>
      <c r="D47" s="140">
        <f>Starchy_veg_intake*'Food preferences'!I44</f>
        <v>4.5866387094969114E-3</v>
      </c>
      <c r="E47" s="79">
        <f>Starchy_veg_intake*'Food preferences'!I44*'Nutrient composition'!F47</f>
        <v>0.55039664513962938</v>
      </c>
      <c r="F47" s="79">
        <f>E47*'Losses and waste'!I47*'Losses and waste'!J47*'Losses and waste'!K47*'Losses and waste'!L47</f>
        <v>2.4588984341722955</v>
      </c>
      <c r="G47" s="80">
        <f>F47*'Processing conversions'!H47</f>
        <v>2.4588984341722955</v>
      </c>
      <c r="H47" s="73">
        <f t="shared" si="0"/>
        <v>897.49792847288779</v>
      </c>
      <c r="I47" s="756">
        <f t="shared" si="1"/>
        <v>1.9768676838609864</v>
      </c>
      <c r="J47" s="38"/>
    </row>
    <row r="48" spans="1:10" x14ac:dyDescent="0.15">
      <c r="A48" s="15" t="s">
        <v>97</v>
      </c>
      <c r="B48" s="15" t="s">
        <v>100</v>
      </c>
      <c r="C48" s="312" t="s">
        <v>431</v>
      </c>
      <c r="D48" s="140">
        <f>Starchy_veg_intake*'Food preferences'!I45</f>
        <v>5.9326967672290509E-2</v>
      </c>
      <c r="E48" s="79">
        <f>Starchy_veg_intake*'Food preferences'!I45*'Nutrient composition'!F48</f>
        <v>9.7296226982556426</v>
      </c>
      <c r="F48" s="79">
        <f>E48*'Losses and waste'!I48*'Losses and waste'!J48*'Losses and waste'!K48*'Losses and waste'!L48</f>
        <v>15.754432945133653</v>
      </c>
      <c r="G48" s="80">
        <f>F48*'Processing conversions'!H48</f>
        <v>15.754432945133653</v>
      </c>
      <c r="H48" s="73">
        <f t="shared" si="0"/>
        <v>5750.3680249737836</v>
      </c>
      <c r="I48" s="756">
        <f t="shared" si="1"/>
        <v>12.666008865581022</v>
      </c>
      <c r="J48" s="38"/>
    </row>
    <row r="49" spans="1:10" x14ac:dyDescent="0.15">
      <c r="A49" s="25" t="s">
        <v>97</v>
      </c>
      <c r="B49" s="25" t="s">
        <v>100</v>
      </c>
      <c r="C49" s="99" t="s">
        <v>432</v>
      </c>
      <c r="D49" s="141">
        <f>Starchy_veg_intake*'Food preferences'!I46</f>
        <v>2.7930060752961974E-2</v>
      </c>
      <c r="E49" s="10">
        <f>Starchy_veg_intake*'Food preferences'!I46*'Nutrient composition'!F49</f>
        <v>4.6084600242387257</v>
      </c>
      <c r="F49" s="10">
        <f>E49*'Losses and waste'!I49*'Losses and waste'!J49*'Losses and waste'!K49*'Losses and waste'!L49</f>
        <v>21.092675830037638</v>
      </c>
      <c r="G49" s="84">
        <f>F49*'Processing conversions'!H49</f>
        <v>21.092675830037638</v>
      </c>
      <c r="H49" s="85">
        <f t="shared" si="0"/>
        <v>7698.8266779637379</v>
      </c>
      <c r="I49" s="757">
        <f t="shared" si="1"/>
        <v>16.957768013135986</v>
      </c>
      <c r="J49" s="39"/>
    </row>
    <row r="50" spans="1:10" s="308" customFormat="1" x14ac:dyDescent="0.15">
      <c r="A50" s="162" t="s">
        <v>695</v>
      </c>
      <c r="B50" s="153"/>
      <c r="C50" s="693"/>
      <c r="D50" s="153"/>
      <c r="E50" s="153"/>
      <c r="F50" s="153"/>
      <c r="G50" s="153"/>
      <c r="H50" s="153"/>
      <c r="I50" s="153"/>
      <c r="J50" s="39"/>
    </row>
    <row r="51" spans="1:10" x14ac:dyDescent="0.15">
      <c r="A51" s="15" t="s">
        <v>102</v>
      </c>
      <c r="B51" s="15" t="s">
        <v>103</v>
      </c>
      <c r="C51" s="312" t="s">
        <v>429</v>
      </c>
      <c r="D51" s="140">
        <f>Other_veg_intake*'Food preferences'!I47</f>
        <v>2.3930206059877722E-3</v>
      </c>
      <c r="E51" s="79">
        <f>Other_veg_intake*'Food preferences'!I47*'Nutrient composition'!F51</f>
        <v>0.47124098087143818</v>
      </c>
      <c r="F51" s="79">
        <f>E51*'Losses and waste'!I51*'Losses and waste'!J51*'Losses and waste'!K51*'Losses and waste'!L51</f>
        <v>1.962306270355886</v>
      </c>
      <c r="G51" s="80">
        <f>F51*'Processing conversions'!H51</f>
        <v>1.962306270355886</v>
      </c>
      <c r="H51" s="73">
        <f t="shared" si="0"/>
        <v>716.24178867989838</v>
      </c>
      <c r="I51" s="756">
        <f t="shared" si="1"/>
        <v>1.577625085198014</v>
      </c>
      <c r="J51" s="38"/>
    </row>
    <row r="52" spans="1:10" x14ac:dyDescent="0.15">
      <c r="A52" s="15" t="s">
        <v>102</v>
      </c>
      <c r="B52" s="15" t="s">
        <v>104</v>
      </c>
      <c r="C52" s="312" t="s">
        <v>429</v>
      </c>
      <c r="D52" s="140">
        <f>Other_veg_intake*'Food preferences'!I48</f>
        <v>3.7738245081326638E-3</v>
      </c>
      <c r="E52" s="79">
        <f>Other_veg_intake*'Food preferences'!I48*'Nutrient composition'!F52</f>
        <v>0.50569248408977696</v>
      </c>
      <c r="F52" s="79">
        <f>E52*'Losses and waste'!I52*'Losses and waste'!J52*'Losses and waste'!K52*'Losses and waste'!L52</f>
        <v>1.4467842181785575</v>
      </c>
      <c r="G52" s="80">
        <f>F52*'Processing conversions'!H52</f>
        <v>1.4467842181785575</v>
      </c>
      <c r="H52" s="73">
        <f t="shared" si="0"/>
        <v>528.07623963517347</v>
      </c>
      <c r="I52" s="756">
        <f t="shared" si="1"/>
        <v>1.1631635234254922</v>
      </c>
      <c r="J52" s="38"/>
    </row>
    <row r="53" spans="1:10" x14ac:dyDescent="0.15">
      <c r="A53" s="15" t="s">
        <v>102</v>
      </c>
      <c r="B53" s="15" t="s">
        <v>104</v>
      </c>
      <c r="C53" s="312" t="s">
        <v>431</v>
      </c>
      <c r="D53" s="140">
        <f>Other_veg_intake*'Food preferences'!I49</f>
        <v>8.0789438597778541E-4</v>
      </c>
      <c r="E53" s="79">
        <f>Other_veg_intake*'Food preferences'!I49*'Nutrient composition'!F53</f>
        <v>0.19551044140662407</v>
      </c>
      <c r="F53" s="79">
        <f>E53*'Losses and waste'!I53*'Losses and waste'!J53*'Losses and waste'!K53*'Losses and waste'!L53</f>
        <v>0.28182903967973255</v>
      </c>
      <c r="G53" s="80">
        <f>F53*'Processing conversions'!H53</f>
        <v>0.28182903967973255</v>
      </c>
      <c r="H53" s="73">
        <f t="shared" si="0"/>
        <v>102.86759948310238</v>
      </c>
      <c r="I53" s="756">
        <f t="shared" si="1"/>
        <v>0.2265806156015471</v>
      </c>
      <c r="J53" s="38"/>
    </row>
    <row r="54" spans="1:10" x14ac:dyDescent="0.15">
      <c r="A54" s="15" t="s">
        <v>102</v>
      </c>
      <c r="B54" s="15" t="s">
        <v>104</v>
      </c>
      <c r="C54" s="312" t="s">
        <v>432</v>
      </c>
      <c r="D54" s="140">
        <f>Other_veg_intake*'Food preferences'!I50</f>
        <v>2.9276349020221078E-4</v>
      </c>
      <c r="E54" s="79">
        <f>Other_veg_intake*'Food preferences'!I50*'Nutrient composition'!F54</f>
        <v>5.269742823639794E-2</v>
      </c>
      <c r="F54" s="79">
        <f>E54*'Losses and waste'!I54*'Losses and waste'!J54*'Losses and waste'!K54*'Losses and waste'!L54</f>
        <v>0.15376855587238075</v>
      </c>
      <c r="G54" s="80">
        <f>F54*'Processing conversions'!H54</f>
        <v>0.15376855587238075</v>
      </c>
      <c r="H54" s="73">
        <f t="shared" si="0"/>
        <v>56.125522893418974</v>
      </c>
      <c r="I54" s="756">
        <f t="shared" si="1"/>
        <v>0.12362449976524004</v>
      </c>
      <c r="J54" s="38"/>
    </row>
    <row r="55" spans="1:10" x14ac:dyDescent="0.15">
      <c r="A55" s="15" t="s">
        <v>102</v>
      </c>
      <c r="B55" s="15" t="s">
        <v>105</v>
      </c>
      <c r="C55" s="312" t="s">
        <v>429</v>
      </c>
      <c r="D55" s="140">
        <f>Other_veg_intake*'Food preferences'!I51</f>
        <v>4.4822628542943103E-2</v>
      </c>
      <c r="E55" s="79">
        <f>Other_veg_intake*'Food preferences'!I51*'Nutrient composition'!F55</f>
        <v>6.6785716528985226</v>
      </c>
      <c r="F55" s="79">
        <f>E55*'Losses and waste'!I55*'Losses and waste'!J55*'Losses and waste'!K55*'Losses and waste'!L55</f>
        <v>11.998240250988884</v>
      </c>
      <c r="G55" s="80">
        <f>F55*'Processing conversions'!H55</f>
        <v>11.998240250988884</v>
      </c>
      <c r="H55" s="73">
        <f t="shared" si="0"/>
        <v>4379.3576916109423</v>
      </c>
      <c r="I55" s="756">
        <f t="shared" si="1"/>
        <v>9.6461623163236609</v>
      </c>
      <c r="J55" s="38"/>
    </row>
    <row r="56" spans="1:10" x14ac:dyDescent="0.15">
      <c r="A56" s="15" t="s">
        <v>102</v>
      </c>
      <c r="B56" s="15" t="s">
        <v>106</v>
      </c>
      <c r="C56" s="312" t="s">
        <v>429</v>
      </c>
      <c r="D56" s="140">
        <f>Other_veg_intake*'Food preferences'!I52</f>
        <v>2.896603246022447E-3</v>
      </c>
      <c r="E56" s="79">
        <f>Other_veg_intake*'Food preferences'!I52*'Nutrient composition'!F56</f>
        <v>0.25490108564997532</v>
      </c>
      <c r="F56" s="79">
        <f>E56*'Losses and waste'!I56*'Losses and waste'!J56*'Losses and waste'!K56*'Losses and waste'!L56</f>
        <v>0.47365576454406721</v>
      </c>
      <c r="G56" s="80">
        <f>F56*'Processing conversions'!H56</f>
        <v>0.47365576454406721</v>
      </c>
      <c r="H56" s="73">
        <f t="shared" si="0"/>
        <v>172.88435405858453</v>
      </c>
      <c r="I56" s="756">
        <f t="shared" si="1"/>
        <v>0.38080254197926111</v>
      </c>
      <c r="J56" s="38"/>
    </row>
    <row r="57" spans="1:10" x14ac:dyDescent="0.15">
      <c r="A57" s="15" t="s">
        <v>102</v>
      </c>
      <c r="B57" s="15" t="s">
        <v>107</v>
      </c>
      <c r="C57" s="312" t="s">
        <v>429</v>
      </c>
      <c r="D57" s="140">
        <f>Other_veg_intake*'Food preferences'!I53</f>
        <v>7.2302422070880265E-2</v>
      </c>
      <c r="E57" s="79">
        <f>Other_veg_intake*'Food preferences'!I53*'Nutrient composition'!F57</f>
        <v>6.4349155643083433</v>
      </c>
      <c r="F57" s="79">
        <f>E57*'Losses and waste'!I57*'Losses and waste'!J57*'Losses and waste'!K57*'Losses and waste'!L57</f>
        <v>12.582393408268057</v>
      </c>
      <c r="G57" s="80">
        <f>F57*'Processing conversions'!H57</f>
        <v>12.582393408268057</v>
      </c>
      <c r="H57" s="73">
        <f t="shared" si="0"/>
        <v>4592.5735940178411</v>
      </c>
      <c r="I57" s="756">
        <f t="shared" si="1"/>
        <v>10.115800867880708</v>
      </c>
      <c r="J57" s="38"/>
    </row>
    <row r="58" spans="1:10" x14ac:dyDescent="0.15">
      <c r="A58" s="15" t="s">
        <v>102</v>
      </c>
      <c r="B58" s="15" t="s">
        <v>107</v>
      </c>
      <c r="C58" s="312" t="s">
        <v>431</v>
      </c>
      <c r="D58" s="140">
        <f>Other_veg_intake*'Food preferences'!I54</f>
        <v>5.0302599603103196E-3</v>
      </c>
      <c r="E58" s="79">
        <f>Other_veg_intake*'Food preferences'!I54*'Nutrient composition'!F58</f>
        <v>0.7545389940465479</v>
      </c>
      <c r="F58" s="79">
        <f>E58*'Losses and waste'!I58*'Losses and waste'!J58*'Losses and waste'!K58*'Losses and waste'!L58</f>
        <v>2.0270228724654737</v>
      </c>
      <c r="G58" s="80">
        <f>F58*'Processing conversions'!H58</f>
        <v>2.0270228724654737</v>
      </c>
      <c r="H58" s="73">
        <f t="shared" si="0"/>
        <v>739.8633484498979</v>
      </c>
      <c r="I58" s="756">
        <f t="shared" si="1"/>
        <v>1.6296549525328148</v>
      </c>
      <c r="J58" s="38"/>
    </row>
    <row r="59" spans="1:10" x14ac:dyDescent="0.15">
      <c r="A59" s="15" t="s">
        <v>102</v>
      </c>
      <c r="B59" s="15" t="s">
        <v>108</v>
      </c>
      <c r="C59" s="312" t="s">
        <v>429</v>
      </c>
      <c r="D59" s="140">
        <f>Other_veg_intake*'Food preferences'!I55</f>
        <v>4.0539838115150034E-3</v>
      </c>
      <c r="E59" s="79">
        <f>Other_veg_intake*'Food preferences'!I55*'Nutrient composition'!F59</f>
        <v>0.43377626783210538</v>
      </c>
      <c r="F59" s="79">
        <f>E59*'Losses and waste'!I59*'Losses and waste'!J59*'Losses and waste'!K59*'Losses and waste'!L59</f>
        <v>1.7573701546743945</v>
      </c>
      <c r="G59" s="80">
        <f>F59*'Processing conversions'!H59</f>
        <v>1.7573701546743945</v>
      </c>
      <c r="H59" s="73">
        <f t="shared" si="0"/>
        <v>641.44010645615401</v>
      </c>
      <c r="I59" s="756">
        <f t="shared" si="1"/>
        <v>1.4128636706082687</v>
      </c>
      <c r="J59" s="38"/>
    </row>
    <row r="60" spans="1:10" x14ac:dyDescent="0.15">
      <c r="A60" s="15" t="s">
        <v>102</v>
      </c>
      <c r="B60" s="15" t="s">
        <v>108</v>
      </c>
      <c r="C60" s="312" t="s">
        <v>432</v>
      </c>
      <c r="D60" s="140">
        <f>Other_veg_intake*'Food preferences'!I56</f>
        <v>1.7708305881262499E-3</v>
      </c>
      <c r="E60" s="79">
        <f>Other_veg_intake*'Food preferences'!I56*'Nutrient composition'!F60</f>
        <v>0.31874950586272499</v>
      </c>
      <c r="F60" s="79">
        <f>E60*'Losses and waste'!I60*'Losses and waste'!J60*'Losses and waste'!K60*'Losses and waste'!L60</f>
        <v>0.58419981500864937</v>
      </c>
      <c r="G60" s="80">
        <f>F60*'Processing conversions'!H60</f>
        <v>0.58419981500864937</v>
      </c>
      <c r="H60" s="73">
        <f t="shared" si="0"/>
        <v>213.23293247815701</v>
      </c>
      <c r="I60" s="756">
        <f t="shared" si="1"/>
        <v>0.46967606272721807</v>
      </c>
      <c r="J60" s="38"/>
    </row>
    <row r="61" spans="1:10" x14ac:dyDescent="0.15">
      <c r="A61" s="15" t="s">
        <v>102</v>
      </c>
      <c r="B61" s="15" t="s">
        <v>109</v>
      </c>
      <c r="C61" s="312" t="s">
        <v>429</v>
      </c>
      <c r="D61" s="140">
        <f>Other_veg_intake*'Food preferences'!I57</f>
        <v>6.0549197684586671E-2</v>
      </c>
      <c r="E61" s="79">
        <f>Other_veg_intake*'Food preferences'!I57*'Nutrient composition'!F61</f>
        <v>6.1154689661432542</v>
      </c>
      <c r="F61" s="79">
        <f>E61*'Losses and waste'!I61*'Losses and waste'!J61*'Losses and waste'!K61*'Losses and waste'!L61</f>
        <v>9.7322767471813822</v>
      </c>
      <c r="G61" s="80">
        <f>F61*'Processing conversions'!H61</f>
        <v>9.7322767471813822</v>
      </c>
      <c r="H61" s="73">
        <f t="shared" si="0"/>
        <v>3552.2810127212047</v>
      </c>
      <c r="I61" s="756">
        <f t="shared" si="1"/>
        <v>7.8244075170070584</v>
      </c>
      <c r="J61" s="38"/>
    </row>
    <row r="62" spans="1:10" x14ac:dyDescent="0.15">
      <c r="A62" s="15" t="s">
        <v>102</v>
      </c>
      <c r="B62" s="15" t="s">
        <v>110</v>
      </c>
      <c r="C62" s="312" t="s">
        <v>431</v>
      </c>
      <c r="D62" s="140">
        <f>Other_veg_intake*'Food preferences'!I58</f>
        <v>4.5386113876372904E-2</v>
      </c>
      <c r="E62" s="79">
        <f>Other_veg_intake*'Food preferences'!I58*'Nutrient composition'!F62</f>
        <v>6.1725114871867151</v>
      </c>
      <c r="F62" s="79">
        <f>E62*'Losses and waste'!I62*'Losses and waste'!J62*'Losses and waste'!K62*'Losses and waste'!L62</f>
        <v>9.9946751630342874</v>
      </c>
      <c r="G62" s="80">
        <f>F62*'Processing conversions'!H62</f>
        <v>9.9946751630342874</v>
      </c>
      <c r="H62" s="73">
        <f t="shared" si="0"/>
        <v>3648.056434507515</v>
      </c>
      <c r="I62" s="756">
        <f t="shared" si="1"/>
        <v>8.0353665958315315</v>
      </c>
      <c r="J62" s="38"/>
    </row>
    <row r="63" spans="1:10" x14ac:dyDescent="0.15">
      <c r="A63" s="15" t="s">
        <v>102</v>
      </c>
      <c r="B63" s="15" t="s">
        <v>111</v>
      </c>
      <c r="C63" s="312" t="s">
        <v>429</v>
      </c>
      <c r="D63" s="140">
        <f>Other_veg_intake*'Food preferences'!I59</f>
        <v>4.0095194214189916E-2</v>
      </c>
      <c r="E63" s="79">
        <f>Other_veg_intake*'Food preferences'!I59*'Nutrient composition'!F63</f>
        <v>2.0849500991378758</v>
      </c>
      <c r="F63" s="79">
        <f>E63*'Losses and waste'!I63*'Losses and waste'!J63*'Losses and waste'!K63*'Losses and waste'!L63</f>
        <v>4.1339833861839814</v>
      </c>
      <c r="G63" s="80">
        <f>F63*'Processing conversions'!H63</f>
        <v>4.1339833861839814</v>
      </c>
      <c r="H63" s="73">
        <f t="shared" si="0"/>
        <v>1508.9039359571532</v>
      </c>
      <c r="I63" s="756">
        <f t="shared" si="1"/>
        <v>3.3235769514474738</v>
      </c>
      <c r="J63" s="38"/>
    </row>
    <row r="64" spans="1:10" x14ac:dyDescent="0.15">
      <c r="A64" s="15" t="s">
        <v>102</v>
      </c>
      <c r="B64" s="15" t="s">
        <v>111</v>
      </c>
      <c r="C64" s="312" t="s">
        <v>431</v>
      </c>
      <c r="D64" s="140">
        <f>Other_veg_intake*'Food preferences'!I60</f>
        <v>1.1070514070090803E-2</v>
      </c>
      <c r="E64" s="79">
        <f>Other_veg_intake*'Food preferences'!I60*'Nutrient composition'!F64</f>
        <v>1.5830835120229849</v>
      </c>
      <c r="F64" s="79">
        <f>E64*'Losses and waste'!I64*'Losses and waste'!J64*'Losses and waste'!K64*'Losses and waste'!L64</f>
        <v>4.6781427660253696</v>
      </c>
      <c r="G64" s="80">
        <f>F64*'Processing conversions'!H64</f>
        <v>4.6781427660253696</v>
      </c>
      <c r="H64" s="73">
        <f t="shared" si="0"/>
        <v>1707.5221095992599</v>
      </c>
      <c r="I64" s="756">
        <f t="shared" si="1"/>
        <v>3.7610619154168723</v>
      </c>
      <c r="J64" s="38"/>
    </row>
    <row r="65" spans="1:10" x14ac:dyDescent="0.15">
      <c r="A65" s="15" t="s">
        <v>102</v>
      </c>
      <c r="B65" s="15" t="s">
        <v>112</v>
      </c>
      <c r="C65" s="312" t="s">
        <v>429</v>
      </c>
      <c r="D65" s="140">
        <f>Other_veg_intake*'Food preferences'!I61</f>
        <v>6.9552518339576807E-3</v>
      </c>
      <c r="E65" s="79">
        <f>Other_veg_intake*'Food preferences'!I61*'Nutrient composition'!F65</f>
        <v>0.57033065038452979</v>
      </c>
      <c r="F65" s="79">
        <f>E65*'Losses and waste'!I65*'Losses and waste'!J65*'Losses and waste'!K65*'Losses and waste'!L65</f>
        <v>1.3622412793658183</v>
      </c>
      <c r="G65" s="80">
        <f>F65*'Processing conversions'!H65</f>
        <v>1.3622412793658183</v>
      </c>
      <c r="H65" s="73">
        <f t="shared" si="0"/>
        <v>497.21806696852366</v>
      </c>
      <c r="I65" s="756">
        <f t="shared" si="1"/>
        <v>1.0951939801068804</v>
      </c>
      <c r="J65" s="38"/>
    </row>
    <row r="66" spans="1:10" x14ac:dyDescent="0.15">
      <c r="A66" s="15" t="s">
        <v>102</v>
      </c>
      <c r="B66" s="15" t="s">
        <v>113</v>
      </c>
      <c r="C66" s="312" t="s">
        <v>429</v>
      </c>
      <c r="D66" s="140">
        <f>Other_veg_intake*'Food preferences'!I62</f>
        <v>1.7005026917419064E-2</v>
      </c>
      <c r="E66" s="79">
        <f>Other_veg_intake*'Food preferences'!I62*'Nutrient composition'!F66</f>
        <v>2.3126836607689927</v>
      </c>
      <c r="F66" s="79">
        <f>E66*'Losses and waste'!I66*'Losses and waste'!J66*'Losses and waste'!K66*'Losses and waste'!L66</f>
        <v>4.43115478695211</v>
      </c>
      <c r="G66" s="80">
        <f>F66*'Processing conversions'!H66</f>
        <v>4.43115478695211</v>
      </c>
      <c r="H66" s="73">
        <f t="shared" si="0"/>
        <v>1617.3714972375201</v>
      </c>
      <c r="I66" s="756">
        <f t="shared" si="1"/>
        <v>3.5624922846641414</v>
      </c>
      <c r="J66" s="38"/>
    </row>
    <row r="67" spans="1:10" x14ac:dyDescent="0.15">
      <c r="A67" s="15" t="s">
        <v>102</v>
      </c>
      <c r="B67" s="15" t="s">
        <v>114</v>
      </c>
      <c r="C67" s="312" t="s">
        <v>429</v>
      </c>
      <c r="D67" s="140">
        <f>Other_veg_intake*'Food preferences'!I63</f>
        <v>0.15214089850581008</v>
      </c>
      <c r="E67" s="79">
        <f>Other_veg_intake*'Food preferences'!I63*'Nutrient composition'!F67</f>
        <v>10.954144692418327</v>
      </c>
      <c r="F67" s="79">
        <f>E67*'Losses and waste'!I67*'Losses and waste'!J67*'Losses and waste'!K67*'Losses and waste'!L67</f>
        <v>19.203488931212071</v>
      </c>
      <c r="G67" s="80">
        <f>F67*'Processing conversions'!H67</f>
        <v>19.203488931212071</v>
      </c>
      <c r="H67" s="73">
        <f t="shared" si="0"/>
        <v>7009.2734598924062</v>
      </c>
      <c r="I67" s="756">
        <f t="shared" si="1"/>
        <v>15.438928325754199</v>
      </c>
      <c r="J67" s="38"/>
    </row>
    <row r="68" spans="1:10" x14ac:dyDescent="0.15">
      <c r="A68" s="15" t="s">
        <v>102</v>
      </c>
      <c r="B68" s="15" t="s">
        <v>115</v>
      </c>
      <c r="C68" s="312" t="s">
        <v>429</v>
      </c>
      <c r="D68" s="140">
        <f>Other_veg_intake*'Food preferences'!I64</f>
        <v>0</v>
      </c>
      <c r="E68" s="79">
        <f>Other_veg_intake*'Food preferences'!I64*'Nutrient composition'!F68</f>
        <v>0</v>
      </c>
      <c r="F68" s="79">
        <f>E68*'Losses and waste'!I68*'Losses and waste'!J68*'Losses and waste'!K68*'Losses and waste'!L68</f>
        <v>0</v>
      </c>
      <c r="G68" s="80">
        <f>F68*'Processing conversions'!H68</f>
        <v>0</v>
      </c>
      <c r="H68" s="73">
        <f t="shared" si="0"/>
        <v>0</v>
      </c>
      <c r="I68" s="756">
        <f t="shared" si="1"/>
        <v>0</v>
      </c>
      <c r="J68" s="38"/>
    </row>
    <row r="69" spans="1:10" x14ac:dyDescent="0.15">
      <c r="A69" s="15" t="s">
        <v>102</v>
      </c>
      <c r="B69" s="15" t="s">
        <v>115</v>
      </c>
      <c r="C69" s="312" t="s">
        <v>431</v>
      </c>
      <c r="D69" s="140">
        <f>Other_veg_intake*'Food preferences'!I65</f>
        <v>0</v>
      </c>
      <c r="E69" s="79">
        <f>Other_veg_intake*'Food preferences'!I65*'Nutrient composition'!F69</f>
        <v>0</v>
      </c>
      <c r="F69" s="79">
        <f>E69*'Losses and waste'!I69*'Losses and waste'!J69*'Losses and waste'!K69*'Losses and waste'!L69</f>
        <v>0</v>
      </c>
      <c r="G69" s="80">
        <f>F69*'Processing conversions'!H69</f>
        <v>0</v>
      </c>
      <c r="H69" s="73">
        <f t="shared" si="0"/>
        <v>0</v>
      </c>
      <c r="I69" s="756">
        <f t="shared" si="1"/>
        <v>0</v>
      </c>
      <c r="J69" s="38"/>
    </row>
    <row r="70" spans="1:10" x14ac:dyDescent="0.15">
      <c r="A70" s="15" t="s">
        <v>102</v>
      </c>
      <c r="B70" s="15" t="s">
        <v>116</v>
      </c>
      <c r="C70" s="312" t="s">
        <v>429</v>
      </c>
      <c r="D70" s="140">
        <f>Other_veg_intake*'Food preferences'!I66</f>
        <v>2.9615810814262065E-3</v>
      </c>
      <c r="E70" s="79">
        <f>Other_veg_intake*'Food preferences'!I66*'Nutrient composition'!F70</f>
        <v>0.29615810814262067</v>
      </c>
      <c r="F70" s="79">
        <f>E70*'Losses and waste'!I70*'Losses and waste'!J70*'Losses and waste'!K70*'Losses and waste'!L70</f>
        <v>0.64719386289563907</v>
      </c>
      <c r="G70" s="80">
        <f>F70*'Processing conversions'!H70</f>
        <v>0.64719386289563907</v>
      </c>
      <c r="H70" s="73">
        <f t="shared" si="0"/>
        <v>236.22575995690826</v>
      </c>
      <c r="I70" s="756">
        <f t="shared" si="1"/>
        <v>0.52032105717380672</v>
      </c>
      <c r="J70" s="38"/>
    </row>
    <row r="71" spans="1:10" x14ac:dyDescent="0.15">
      <c r="A71" s="15" t="s">
        <v>102</v>
      </c>
      <c r="B71" s="15" t="s">
        <v>117</v>
      </c>
      <c r="C71" s="312" t="s">
        <v>429</v>
      </c>
      <c r="D71" s="140">
        <f>Other_veg_intake*'Food preferences'!I67</f>
        <v>9.5124021352752844E-2</v>
      </c>
      <c r="E71" s="79">
        <f>Other_veg_intake*'Food preferences'!I67*'Nutrient composition'!F71</f>
        <v>15.219843416440455</v>
      </c>
      <c r="F71" s="79">
        <f>E71*'Losses and waste'!I71*'Losses and waste'!J71*'Losses and waste'!K71*'Losses and waste'!L71</f>
        <v>30.669866545060856</v>
      </c>
      <c r="G71" s="80">
        <f>F71*'Processing conversions'!H71</f>
        <v>30.669866545060856</v>
      </c>
      <c r="H71" s="73">
        <f t="shared" si="0"/>
        <v>11194.501288947213</v>
      </c>
      <c r="I71" s="756">
        <f t="shared" si="1"/>
        <v>24.657491825874917</v>
      </c>
      <c r="J71" s="38"/>
    </row>
    <row r="72" spans="1:10" x14ac:dyDescent="0.15">
      <c r="A72" s="15" t="s">
        <v>102</v>
      </c>
      <c r="B72" s="15" t="s">
        <v>117</v>
      </c>
      <c r="C72" s="312" t="s">
        <v>519</v>
      </c>
      <c r="D72" s="140">
        <f>Other_veg_intake*'Food preferences'!I68</f>
        <v>7.5716722253893745E-3</v>
      </c>
      <c r="E72" s="79">
        <f>Other_veg_intake*'Food preferences'!I68*'Nutrient composition'!F72</f>
        <v>0.42401364462180496</v>
      </c>
      <c r="F72" s="79">
        <f>E72*'Losses and waste'!I72*'Losses and waste'!J72*'Losses and waste'!K72*'Losses and waste'!L72</f>
        <v>4.5563469226499578</v>
      </c>
      <c r="G72" s="80">
        <f>F72*'Processing conversions'!H72</f>
        <v>4.5563469226499578</v>
      </c>
      <c r="H72" s="73">
        <f t="shared" si="0"/>
        <v>1663.0666267672345</v>
      </c>
      <c r="I72" s="756">
        <f t="shared" si="1"/>
        <v>3.6631423497075652</v>
      </c>
      <c r="J72" s="38"/>
    </row>
    <row r="73" spans="1:10" x14ac:dyDescent="0.15">
      <c r="A73" s="15" t="s">
        <v>102</v>
      </c>
      <c r="B73" s="15" t="s">
        <v>118</v>
      </c>
      <c r="C73" s="312" t="s">
        <v>429</v>
      </c>
      <c r="D73" s="140">
        <f>Other_veg_intake*'Food preferences'!I69</f>
        <v>3.8948448451736673E-3</v>
      </c>
      <c r="E73" s="79">
        <f>Other_veg_intake*'Food preferences'!I69*'Nutrient composition'!F73</f>
        <v>0.45180200204014542</v>
      </c>
      <c r="F73" s="79">
        <f>E73*'Losses and waste'!I73*'Losses and waste'!J73*'Losses and waste'!K73*'Losses and waste'!L73</f>
        <v>0.81909455690680621</v>
      </c>
      <c r="G73" s="80">
        <f>F73*'Processing conversions'!H73</f>
        <v>0.81909455690680621</v>
      </c>
      <c r="H73" s="73">
        <f t="shared" si="0"/>
        <v>298.96951327098429</v>
      </c>
      <c r="I73" s="756">
        <f t="shared" si="1"/>
        <v>0.65852315698454689</v>
      </c>
      <c r="J73" s="38"/>
    </row>
    <row r="74" spans="1:10" x14ac:dyDescent="0.15">
      <c r="A74" s="15" t="s">
        <v>102</v>
      </c>
      <c r="B74" s="15" t="s">
        <v>119</v>
      </c>
      <c r="C74" s="312" t="s">
        <v>429</v>
      </c>
      <c r="D74" s="140">
        <f>Other_veg_intake*'Food preferences'!I70</f>
        <v>1.585233415425551E-2</v>
      </c>
      <c r="E74" s="79">
        <f>Other_veg_intake*'Food preferences'!I70*'Nutrient composition'!F74</f>
        <v>1.585233415425551</v>
      </c>
      <c r="F74" s="79">
        <f>E74*'Losses and waste'!I74*'Losses and waste'!J74*'Losses and waste'!K74*'Losses and waste'!L74</f>
        <v>3.0169125663797582</v>
      </c>
      <c r="G74" s="80">
        <f>F74*'Processing conversions'!H74</f>
        <v>3.0169125663797582</v>
      </c>
      <c r="H74" s="73">
        <f t="shared" si="0"/>
        <v>1101.1730867286117</v>
      </c>
      <c r="I74" s="756">
        <f t="shared" si="1"/>
        <v>2.4254913804594973</v>
      </c>
      <c r="J74" s="38"/>
    </row>
    <row r="75" spans="1:10" x14ac:dyDescent="0.15">
      <c r="A75" s="15" t="s">
        <v>102</v>
      </c>
      <c r="B75" s="15" t="s">
        <v>119</v>
      </c>
      <c r="C75" s="312" t="s">
        <v>431</v>
      </c>
      <c r="D75" s="140">
        <f>Other_veg_intake*'Food preferences'!I71</f>
        <v>2.1624013281570372E-2</v>
      </c>
      <c r="E75" s="79">
        <f>Other_veg_intake*'Food preferences'!I71*'Nutrient composition'!F75</f>
        <v>3.3084740320802668</v>
      </c>
      <c r="F75" s="79">
        <f>E75*'Losses and waste'!I75*'Losses and waste'!J75*'Losses and waste'!K75*'Losses and waste'!L75</f>
        <v>6.5178763437357503</v>
      </c>
      <c r="G75" s="80">
        <f>F75*'Processing conversions'!H75</f>
        <v>6.5178763437357503</v>
      </c>
      <c r="H75" s="73">
        <f t="shared" si="0"/>
        <v>2379.0248654635488</v>
      </c>
      <c r="I75" s="756">
        <f t="shared" si="1"/>
        <v>5.2401428754703723</v>
      </c>
      <c r="J75" s="38"/>
    </row>
    <row r="76" spans="1:10" x14ac:dyDescent="0.15">
      <c r="A76" s="15" t="s">
        <v>102</v>
      </c>
      <c r="B76" s="15" t="s">
        <v>119</v>
      </c>
      <c r="C76" s="312" t="s">
        <v>432</v>
      </c>
      <c r="D76" s="140">
        <f>Other_veg_intake*'Food preferences'!I72</f>
        <v>1.549811594497567E-2</v>
      </c>
      <c r="E76" s="79">
        <f>Other_veg_intake*'Food preferences'!I72*'Nutrient composition'!F76</f>
        <v>1.8752720293420562</v>
      </c>
      <c r="F76" s="79">
        <f>E76*'Losses and waste'!I76*'Losses and waste'!J76*'Losses and waste'!K76*'Losses and waste'!L76</f>
        <v>2.9425728706678056</v>
      </c>
      <c r="G76" s="80">
        <f>F76*'Processing conversions'!H76</f>
        <v>2.9425728706678056</v>
      </c>
      <c r="H76" s="73">
        <f t="shared" si="0"/>
        <v>1074.0390977937491</v>
      </c>
      <c r="I76" s="756">
        <f t="shared" si="1"/>
        <v>2.3657248850082579</v>
      </c>
      <c r="J76" s="38"/>
    </row>
    <row r="77" spans="1:10" x14ac:dyDescent="0.15">
      <c r="A77" s="15" t="s">
        <v>102</v>
      </c>
      <c r="B77" s="15" t="s">
        <v>120</v>
      </c>
      <c r="C77" s="312" t="s">
        <v>429</v>
      </c>
      <c r="D77" s="140">
        <f>Other_veg_intake*'Food preferences'!I73</f>
        <v>1.6126988801931409E-2</v>
      </c>
      <c r="E77" s="79">
        <f>Other_veg_intake*'Food preferences'!I73*'Nutrient composition'!F77</f>
        <v>1.9997466114394946</v>
      </c>
      <c r="F77" s="79">
        <f>E77*'Losses and waste'!I77*'Losses and waste'!J77*'Losses and waste'!K77*'Losses and waste'!L77</f>
        <v>3.8230152564863773</v>
      </c>
      <c r="G77" s="80">
        <f>F77*'Processing conversions'!H77</f>
        <v>3.8230152564863773</v>
      </c>
      <c r="H77" s="73">
        <f t="shared" si="0"/>
        <v>1395.4005686175278</v>
      </c>
      <c r="I77" s="756">
        <f t="shared" si="1"/>
        <v>3.0735695343998408</v>
      </c>
      <c r="J77" s="38"/>
    </row>
    <row r="78" spans="1:10" s="308" customFormat="1" x14ac:dyDescent="0.15">
      <c r="A78" s="162" t="s">
        <v>696</v>
      </c>
      <c r="B78" s="153"/>
      <c r="C78" s="693"/>
      <c r="D78" s="153"/>
      <c r="E78" s="153"/>
      <c r="F78" s="153"/>
      <c r="G78" s="153"/>
      <c r="H78" s="153"/>
      <c r="I78" s="153"/>
      <c r="J78" s="39"/>
    </row>
    <row r="79" spans="1:10" x14ac:dyDescent="0.15">
      <c r="A79" s="15" t="s">
        <v>123</v>
      </c>
      <c r="B79" s="15" t="s">
        <v>124</v>
      </c>
      <c r="C79" s="312" t="s">
        <v>429</v>
      </c>
      <c r="D79" s="140">
        <f>Fruit_intake*'Food preferences'!I74</f>
        <v>7.1404102267101546E-2</v>
      </c>
      <c r="E79" s="79">
        <f>Fruit_intake*'Food preferences'!I74*'Nutrient composition'!F79</f>
        <v>12.852738408078279</v>
      </c>
      <c r="F79" s="79">
        <f>E79*'Losses and waste'!I79*'Losses and waste'!J79*'Losses and waste'!K79*'Losses and waste'!L79</f>
        <v>25.657229091314136</v>
      </c>
      <c r="G79" s="80">
        <f>F79*'Processing conversions'!H79</f>
        <v>25.657229091314136</v>
      </c>
      <c r="H79" s="73">
        <f t="shared" ref="H79:H142" si="4">G79*365</f>
        <v>9364.8886183296599</v>
      </c>
      <c r="I79" s="756">
        <f t="shared" ref="I79:I142" si="5">H79/454</f>
        <v>20.62750796988912</v>
      </c>
      <c r="J79" s="38"/>
    </row>
    <row r="80" spans="1:10" x14ac:dyDescent="0.15">
      <c r="A80" s="15" t="s">
        <v>123</v>
      </c>
      <c r="B80" s="15" t="s">
        <v>124</v>
      </c>
      <c r="C80" s="312" t="s">
        <v>554</v>
      </c>
      <c r="D80" s="140">
        <f>Fruit_intake*'Food preferences'!I75</f>
        <v>0.39523889399852535</v>
      </c>
      <c r="E80" s="79">
        <f>Fruit_intake*'Food preferences'!I75*'Nutrient composition'!F80</f>
        <v>98.019245711634284</v>
      </c>
      <c r="F80" s="79">
        <f>E80*'Losses and waste'!I80*'Losses and waste'!J80*'Losses and waste'!K80*'Losses and waste'!L80</f>
        <v>178.61391527836415</v>
      </c>
      <c r="G80" s="80">
        <f>F80*'Processing conversions'!H80</f>
        <v>178.61391527836415</v>
      </c>
      <c r="H80" s="73">
        <f t="shared" si="4"/>
        <v>65194.079076602917</v>
      </c>
      <c r="I80" s="756">
        <f t="shared" si="5"/>
        <v>143.59929312027074</v>
      </c>
      <c r="J80" s="38"/>
    </row>
    <row r="81" spans="1:10" x14ac:dyDescent="0.15">
      <c r="A81" s="15" t="s">
        <v>123</v>
      </c>
      <c r="B81" s="15" t="s">
        <v>125</v>
      </c>
      <c r="C81" s="312" t="s">
        <v>429</v>
      </c>
      <c r="D81" s="140">
        <f>Fruit_intake*'Food preferences'!I76</f>
        <v>9.2600631843297431E-3</v>
      </c>
      <c r="E81" s="79">
        <f>Fruit_intake*'Food preferences'!I76*'Nutrient composition'!F81</f>
        <v>2.1298145323958408</v>
      </c>
      <c r="F81" s="79">
        <f>E81*'Losses and waste'!I81*'Losses and waste'!J81*'Losses and waste'!K81*'Losses and waste'!L81</f>
        <v>6.2976213937006893</v>
      </c>
      <c r="G81" s="80">
        <f>F81*'Processing conversions'!H81</f>
        <v>6.2976213937006893</v>
      </c>
      <c r="H81" s="73">
        <f t="shared" si="4"/>
        <v>2298.6318087007517</v>
      </c>
      <c r="I81" s="756">
        <f t="shared" si="5"/>
        <v>5.0630656579311708</v>
      </c>
      <c r="J81" s="38"/>
    </row>
    <row r="82" spans="1:10" x14ac:dyDescent="0.15">
      <c r="A82" s="15" t="s">
        <v>123</v>
      </c>
      <c r="B82" s="15" t="s">
        <v>125</v>
      </c>
      <c r="C82" s="312" t="s">
        <v>554</v>
      </c>
      <c r="D82" s="140">
        <f>Fruit_intake*'Food preferences'!I77</f>
        <v>2.9064301361854807E-2</v>
      </c>
      <c r="E82" s="79">
        <f>Fruit_intake*'Food preferences'!I77*'Nutrient composition'!F82</f>
        <v>7.1788824363781378</v>
      </c>
      <c r="F82" s="79">
        <f>E82*'Losses and waste'!I82*'Losses and waste'!J82*'Losses and waste'!K82*'Losses and waste'!L82</f>
        <v>11.951909642383772</v>
      </c>
      <c r="G82" s="80">
        <f>F82*'Processing conversions'!H82</f>
        <v>11.951909642383772</v>
      </c>
      <c r="H82" s="73">
        <f t="shared" si="4"/>
        <v>4362.4470194700771</v>
      </c>
      <c r="I82" s="756">
        <f t="shared" si="5"/>
        <v>9.6089141398019322</v>
      </c>
      <c r="J82" s="38"/>
    </row>
    <row r="83" spans="1:10" x14ac:dyDescent="0.15">
      <c r="A83" s="15" t="s">
        <v>123</v>
      </c>
      <c r="B83" s="15" t="s">
        <v>126</v>
      </c>
      <c r="C83" s="312" t="s">
        <v>429</v>
      </c>
      <c r="D83" s="140">
        <f>Fruit_intake*'Food preferences'!I78</f>
        <v>1.3257026962511954E-2</v>
      </c>
      <c r="E83" s="79">
        <f>Fruit_intake*'Food preferences'!I78*'Nutrient composition'!F83</f>
        <v>2.8104897160525342</v>
      </c>
      <c r="F83" s="79">
        <f>E83*'Losses and waste'!I83*'Losses and waste'!J83*'Losses and waste'!K83*'Losses and waste'!L83</f>
        <v>7.4214628356870262</v>
      </c>
      <c r="G83" s="80">
        <f>F83*'Processing conversions'!H83</f>
        <v>7.4214628356870262</v>
      </c>
      <c r="H83" s="73">
        <f t="shared" si="4"/>
        <v>2708.8339350257647</v>
      </c>
      <c r="I83" s="756">
        <f t="shared" si="5"/>
        <v>5.9665945705413321</v>
      </c>
      <c r="J83" s="38"/>
    </row>
    <row r="84" spans="1:10" x14ac:dyDescent="0.15">
      <c r="A84" s="15" t="s">
        <v>123</v>
      </c>
      <c r="B84" s="15" t="s">
        <v>126</v>
      </c>
      <c r="C84" s="312" t="s">
        <v>554</v>
      </c>
      <c r="D84" s="140">
        <f>Fruit_intake*'Food preferences'!I79</f>
        <v>1.308529219300514E-2</v>
      </c>
      <c r="E84" s="79">
        <f>Fruit_intake*'Food preferences'!I79*'Nutrient composition'!F84</f>
        <v>3.1928112950932541</v>
      </c>
      <c r="F84" s="79">
        <f>E84*'Losses and waste'!I84*'Losses and waste'!J84*'Losses and waste'!K84*'Losses and waste'!L84</f>
        <v>11.21419705132382</v>
      </c>
      <c r="G84" s="80">
        <f>F84*'Processing conversions'!H84</f>
        <v>11.21419705132382</v>
      </c>
      <c r="H84" s="73">
        <f t="shared" si="4"/>
        <v>4093.1819237331943</v>
      </c>
      <c r="I84" s="756">
        <f t="shared" si="5"/>
        <v>9.0158192152713532</v>
      </c>
      <c r="J84" s="38"/>
    </row>
    <row r="85" spans="1:10" x14ac:dyDescent="0.15">
      <c r="A85" s="15" t="s">
        <v>123</v>
      </c>
      <c r="B85" s="15" t="s">
        <v>127</v>
      </c>
      <c r="C85" s="312" t="s">
        <v>429</v>
      </c>
      <c r="D85" s="140">
        <f>Fruit_intake*'Food preferences'!I80</f>
        <v>2.0096882373734023E-2</v>
      </c>
      <c r="E85" s="79">
        <f>Fruit_intake*'Food preferences'!I80*'Nutrient composition'!F85</f>
        <v>4.1047882248351746</v>
      </c>
      <c r="F85" s="79">
        <f>E85*'Losses and waste'!I85*'Losses and waste'!J85*'Losses and waste'!K85*'Losses and waste'!L85</f>
        <v>7.0131197380767372</v>
      </c>
      <c r="G85" s="80">
        <f>F85*'Processing conversions'!H85</f>
        <v>7.0131197380767372</v>
      </c>
      <c r="H85" s="73">
        <f t="shared" si="4"/>
        <v>2559.788704398009</v>
      </c>
      <c r="I85" s="756">
        <f t="shared" si="5"/>
        <v>5.6383011110088308</v>
      </c>
      <c r="J85" s="38"/>
    </row>
    <row r="86" spans="1:10" x14ac:dyDescent="0.15">
      <c r="A86" s="15" t="s">
        <v>123</v>
      </c>
      <c r="B86" s="15" t="s">
        <v>127</v>
      </c>
      <c r="C86" s="312" t="s">
        <v>554</v>
      </c>
      <c r="D86" s="140">
        <f>Fruit_intake*'Food preferences'!I81</f>
        <v>2.553542192896727E-3</v>
      </c>
      <c r="E86" s="79">
        <f>Fruit_intake*'Food preferences'!I81*'Nutrient composition'!F86</f>
        <v>0.61795721068100795</v>
      </c>
      <c r="F86" s="79">
        <f>E86*'Losses and waste'!I86*'Losses and waste'!J86*'Losses and waste'!K86*'Losses and waste'!L86</f>
        <v>2.1968297007803477</v>
      </c>
      <c r="G86" s="80">
        <f>F86*'Processing conversions'!H86</f>
        <v>2.1968297007803477</v>
      </c>
      <c r="H86" s="73">
        <f t="shared" si="4"/>
        <v>801.84284078482688</v>
      </c>
      <c r="I86" s="756">
        <f t="shared" si="5"/>
        <v>1.7661736581163587</v>
      </c>
      <c r="J86" s="38"/>
    </row>
    <row r="87" spans="1:10" x14ac:dyDescent="0.15">
      <c r="A87" s="15" t="s">
        <v>123</v>
      </c>
      <c r="B87" s="15" t="s">
        <v>128</v>
      </c>
      <c r="C87" s="99" t="s">
        <v>429</v>
      </c>
      <c r="D87" s="140">
        <f>Fruit_intake*'Food preferences'!I82</f>
        <v>1.8636873295655134E-2</v>
      </c>
      <c r="E87" s="79">
        <f>Fruit_intake*'Food preferences'!I82*'Nutrient composition'!F87</f>
        <v>3.6341902926527512</v>
      </c>
      <c r="F87" s="79">
        <f>E87*'Losses and waste'!I87*'Losses and waste'!J87*'Losses and waste'!K87*'Losses and waste'!L87</f>
        <v>8.121849918049465</v>
      </c>
      <c r="G87" s="80">
        <f>F87*'Processing conversions'!H87</f>
        <v>8.121849918049465</v>
      </c>
      <c r="H87" s="73">
        <f t="shared" si="4"/>
        <v>2964.4752200880548</v>
      </c>
      <c r="I87" s="756">
        <f t="shared" si="5"/>
        <v>6.5296811015155392</v>
      </c>
      <c r="J87" s="38"/>
    </row>
    <row r="88" spans="1:10" s="308" customFormat="1" x14ac:dyDescent="0.15">
      <c r="A88" s="162" t="s">
        <v>697</v>
      </c>
      <c r="B88" s="153"/>
      <c r="C88" s="178"/>
      <c r="D88" s="153"/>
      <c r="E88" s="153"/>
      <c r="F88" s="153"/>
      <c r="G88" s="153"/>
      <c r="H88" s="153"/>
      <c r="I88" s="153"/>
      <c r="J88" s="39"/>
    </row>
    <row r="89" spans="1:10" x14ac:dyDescent="0.15">
      <c r="A89" s="15" t="s">
        <v>129</v>
      </c>
      <c r="B89" s="15" t="s">
        <v>130</v>
      </c>
      <c r="C89" s="312" t="s">
        <v>429</v>
      </c>
      <c r="D89" s="140">
        <f>Fruit_intake*'Food preferences'!I83</f>
        <v>0.29566650982179488</v>
      </c>
      <c r="E89" s="79">
        <f>Fruit_intake*'Food preferences'!I83*'Nutrient composition'!F89</f>
        <v>36.958313727724359</v>
      </c>
      <c r="F89" s="79">
        <f>E89*'Losses and waste'!I89*'Losses and waste'!J89*'Losses and waste'!K89*'Losses and waste'!L89</f>
        <v>58.51364807484552</v>
      </c>
      <c r="G89" s="80">
        <f>F89*'Processing conversions'!H89</f>
        <v>58.51364807484552</v>
      </c>
      <c r="H89" s="73">
        <f t="shared" si="4"/>
        <v>21357.481547318614</v>
      </c>
      <c r="I89" s="756">
        <f t="shared" si="5"/>
        <v>47.042910897177563</v>
      </c>
      <c r="J89" s="38"/>
    </row>
    <row r="90" spans="1:10" x14ac:dyDescent="0.15">
      <c r="A90" s="15" t="s">
        <v>129</v>
      </c>
      <c r="B90" s="15" t="s">
        <v>131</v>
      </c>
      <c r="C90" s="312" t="s">
        <v>431</v>
      </c>
      <c r="D90" s="140">
        <f>Fruit_intake*'Food preferences'!I84</f>
        <v>3.7270908907941651E-2</v>
      </c>
      <c r="E90" s="79">
        <f>Fruit_intake*'Food preferences'!I84*'Nutrient composition'!F90</f>
        <v>9.0941017735377621</v>
      </c>
      <c r="F90" s="79">
        <f>E90*'Losses and waste'!I90*'Losses and waste'!J90*'Losses and waste'!K90*'Losses and waste'!L90</f>
        <v>13.436911603926953</v>
      </c>
      <c r="G90" s="80">
        <f>F90*'Processing conversions'!H90</f>
        <v>13.436911603926953</v>
      </c>
      <c r="H90" s="73">
        <f t="shared" si="4"/>
        <v>4904.4727354333381</v>
      </c>
      <c r="I90" s="756">
        <f t="shared" si="5"/>
        <v>10.802803382011758</v>
      </c>
      <c r="J90" s="38"/>
    </row>
    <row r="91" spans="1:10" x14ac:dyDescent="0.15">
      <c r="A91" s="15" t="s">
        <v>129</v>
      </c>
      <c r="B91" s="15" t="s">
        <v>130</v>
      </c>
      <c r="C91" s="312" t="s">
        <v>432</v>
      </c>
      <c r="D91" s="140">
        <f>Fruit_intake*'Food preferences'!I85</f>
        <v>4.391135397917601E-4</v>
      </c>
      <c r="E91" s="79">
        <f>Fruit_intake*'Food preferences'!I85*'Nutrient composition'!F91</f>
        <v>7.5966642383974492E-2</v>
      </c>
      <c r="F91" s="79">
        <f>E91*'Losses and waste'!I91*'Losses and waste'!J91*'Losses and waste'!K91*'Losses and waste'!L91</f>
        <v>0.14995779288562339</v>
      </c>
      <c r="G91" s="80">
        <f>F91*'Processing conversions'!H91</f>
        <v>0.14995779288562339</v>
      </c>
      <c r="H91" s="73">
        <f t="shared" si="4"/>
        <v>54.734594403252537</v>
      </c>
      <c r="I91" s="756">
        <f t="shared" si="5"/>
        <v>0.12056078062390427</v>
      </c>
      <c r="J91" s="38"/>
    </row>
    <row r="92" spans="1:10" x14ac:dyDescent="0.15">
      <c r="A92" s="15" t="s">
        <v>129</v>
      </c>
      <c r="B92" s="15" t="s">
        <v>130</v>
      </c>
      <c r="C92" s="312" t="s">
        <v>517</v>
      </c>
      <c r="D92" s="140">
        <f>Fruit_intake*'Food preferences'!I86</f>
        <v>7.2661064293469153E-3</v>
      </c>
      <c r="E92" s="79">
        <f>Fruit_intake*'Food preferences'!I86*'Nutrient composition'!F92</f>
        <v>0.62488515292383473</v>
      </c>
      <c r="F92" s="79">
        <f>E92*'Losses and waste'!I92*'Losses and waste'!J92*'Losses and waste'!K92*'Losses and waste'!L92</f>
        <v>5.9090794602726691</v>
      </c>
      <c r="G92" s="80">
        <f>F92*'Processing conversions'!H92</f>
        <v>5.9090794602726691</v>
      </c>
      <c r="H92" s="73">
        <f t="shared" si="4"/>
        <v>2156.8140029995243</v>
      </c>
      <c r="I92" s="756">
        <f t="shared" si="5"/>
        <v>4.7506916365628289</v>
      </c>
      <c r="J92" s="38"/>
    </row>
    <row r="93" spans="1:10" x14ac:dyDescent="0.15">
      <c r="A93" s="15" t="s">
        <v>129</v>
      </c>
      <c r="B93" s="15" t="s">
        <v>130</v>
      </c>
      <c r="C93" s="312" t="s">
        <v>554</v>
      </c>
      <c r="D93" s="140">
        <f>Fruit_intake*'Food preferences'!I87</f>
        <v>0.21166999787995094</v>
      </c>
      <c r="E93" s="79">
        <f>Fruit_intake*'Food preferences'!I87*'Nutrient composition'!F93</f>
        <v>52.494159474227835</v>
      </c>
      <c r="F93" s="79">
        <f>E93*'Losses and waste'!I93*'Losses and waste'!J93*'Losses and waste'!K93*'Losses and waste'!L93</f>
        <v>84.613409855299551</v>
      </c>
      <c r="G93" s="80">
        <f>F93*'Processing conversions'!H93</f>
        <v>84.613409855299551</v>
      </c>
      <c r="H93" s="73">
        <f t="shared" si="4"/>
        <v>30883.894597184335</v>
      </c>
      <c r="I93" s="756">
        <f t="shared" si="5"/>
        <v>68.026199553269464</v>
      </c>
      <c r="J93" s="38"/>
    </row>
    <row r="94" spans="1:10" x14ac:dyDescent="0.15">
      <c r="A94" s="15" t="s">
        <v>129</v>
      </c>
      <c r="B94" s="15" t="s">
        <v>132</v>
      </c>
      <c r="C94" s="312" t="s">
        <v>429</v>
      </c>
      <c r="D94" s="140">
        <f>Fruit_intake*'Food preferences'!I88</f>
        <v>1.065679695456206E-3</v>
      </c>
      <c r="E94" s="79">
        <f>Fruit_intake*'Food preferences'!I88*'Nutrient composition'!F94</f>
        <v>0.16518035279571194</v>
      </c>
      <c r="F94" s="79">
        <f>E94*'Losses and waste'!I94*'Losses and waste'!J94*'Losses and waste'!K94*'Losses and waste'!L94</f>
        <v>0.37567769548593621</v>
      </c>
      <c r="G94" s="80">
        <f>F94*'Processing conversions'!H94</f>
        <v>0.37567769548593621</v>
      </c>
      <c r="H94" s="73">
        <f t="shared" si="4"/>
        <v>137.12235885236672</v>
      </c>
      <c r="I94" s="756">
        <f t="shared" si="5"/>
        <v>0.30203162742812051</v>
      </c>
      <c r="J94" s="38"/>
    </row>
    <row r="95" spans="1:10" x14ac:dyDescent="0.15">
      <c r="A95" s="15" t="s">
        <v>129</v>
      </c>
      <c r="B95" s="15" t="s">
        <v>132</v>
      </c>
      <c r="C95" s="312" t="s">
        <v>431</v>
      </c>
      <c r="D95" s="140">
        <f>Fruit_intake*'Food preferences'!I89</f>
        <v>1.0876982139629455E-3</v>
      </c>
      <c r="E95" s="79">
        <f>Fruit_intake*'Food preferences'!I89*'Nutrient composition'!F95</f>
        <v>0.26431066599299574</v>
      </c>
      <c r="F95" s="79">
        <f>E95*'Losses and waste'!I95*'Losses and waste'!J95*'Losses and waste'!K95*'Losses and waste'!L95</f>
        <v>0.44989049530722675</v>
      </c>
      <c r="G95" s="80">
        <f>F95*'Processing conversions'!H95</f>
        <v>0.44989049530722675</v>
      </c>
      <c r="H95" s="73">
        <f t="shared" si="4"/>
        <v>164.21003078713775</v>
      </c>
      <c r="I95" s="756">
        <f t="shared" si="5"/>
        <v>0.36169610305536948</v>
      </c>
      <c r="J95" s="38"/>
    </row>
    <row r="96" spans="1:10" x14ac:dyDescent="0.15">
      <c r="A96" s="15" t="s">
        <v>129</v>
      </c>
      <c r="B96" s="15" t="s">
        <v>132</v>
      </c>
      <c r="C96" s="312" t="s">
        <v>432</v>
      </c>
      <c r="D96" s="140">
        <f>Fruit_intake*'Food preferences'!I90</f>
        <v>1.0781302319084808E-2</v>
      </c>
      <c r="E96" s="79">
        <f>Fruit_intake*'Food preferences'!I90*'Nutrient composition'!F96</f>
        <v>1.6711018594581453</v>
      </c>
      <c r="F96" s="79">
        <f>E96*'Losses and waste'!I96*'Losses and waste'!J96*'Losses and waste'!K96*'Losses and waste'!L96</f>
        <v>2.1728274768368321</v>
      </c>
      <c r="G96" s="80">
        <f>F96*'Processing conversions'!H96</f>
        <v>2.1728274768368321</v>
      </c>
      <c r="H96" s="73">
        <f t="shared" si="4"/>
        <v>793.08202904544373</v>
      </c>
      <c r="I96" s="756">
        <f t="shared" si="5"/>
        <v>1.7468767159591272</v>
      </c>
      <c r="J96" s="38"/>
    </row>
    <row r="97" spans="1:10" x14ac:dyDescent="0.15">
      <c r="A97" s="15" t="s">
        <v>129</v>
      </c>
      <c r="B97" s="15" t="s">
        <v>132</v>
      </c>
      <c r="C97" s="312" t="s">
        <v>517</v>
      </c>
      <c r="D97" s="140">
        <f>Fruit_intake*'Food preferences'!I91</f>
        <v>4.9175337758033538E-3</v>
      </c>
      <c r="E97" s="79">
        <f>Fruit_intake*'Food preferences'!I91*'Nutrient composition'!F97</f>
        <v>0.63927939085443597</v>
      </c>
      <c r="F97" s="79">
        <f>E97*'Losses and waste'!I97*'Losses and waste'!J97*'Losses and waste'!K97*'Losses and waste'!L97</f>
        <v>4.2014106538423919</v>
      </c>
      <c r="G97" s="80">
        <f>F97*'Processing conversions'!H97</f>
        <v>4.2014106538423919</v>
      </c>
      <c r="H97" s="73">
        <f t="shared" si="4"/>
        <v>1533.514888652473</v>
      </c>
      <c r="I97" s="756">
        <f t="shared" si="5"/>
        <v>3.3777860983534649</v>
      </c>
      <c r="J97" s="38"/>
    </row>
    <row r="98" spans="1:10" x14ac:dyDescent="0.15">
      <c r="A98" s="15" t="s">
        <v>129</v>
      </c>
      <c r="B98" s="15" t="s">
        <v>133</v>
      </c>
      <c r="C98" s="312" t="s">
        <v>429</v>
      </c>
      <c r="D98" s="140">
        <f>Fruit_intake*'Food preferences'!I92</f>
        <v>3.6507501198144693E-2</v>
      </c>
      <c r="E98" s="79">
        <f>Fruit_intake*'Food preferences'!I92*'Nutrient composition'!F98</f>
        <v>5.4761251797217039</v>
      </c>
      <c r="F98" s="79">
        <f>E98*'Losses and waste'!I98*'Losses and waste'!J98*'Losses and waste'!K98*'Losses and waste'!L98</f>
        <v>10.85245684402757</v>
      </c>
      <c r="G98" s="80">
        <f>F98*'Processing conversions'!H98</f>
        <v>10.85245684402757</v>
      </c>
      <c r="H98" s="73">
        <f t="shared" si="4"/>
        <v>3961.146748070063</v>
      </c>
      <c r="I98" s="756">
        <f t="shared" si="5"/>
        <v>8.7249928371587284</v>
      </c>
      <c r="J98" s="38"/>
    </row>
    <row r="99" spans="1:10" x14ac:dyDescent="0.15">
      <c r="A99" s="15" t="s">
        <v>129</v>
      </c>
      <c r="B99" s="15" t="s">
        <v>134</v>
      </c>
      <c r="C99" s="312" t="s">
        <v>429</v>
      </c>
      <c r="D99" s="140">
        <f>Fruit_intake*'Food preferences'!I93</f>
        <v>0</v>
      </c>
      <c r="E99" s="79">
        <f>Fruit_intake*'Food preferences'!I93*'Nutrient composition'!F99</f>
        <v>0</v>
      </c>
      <c r="F99" s="79">
        <f>E99*'Losses and waste'!I99*'Losses and waste'!J99*'Losses and waste'!K99*'Losses and waste'!L99</f>
        <v>0</v>
      </c>
      <c r="G99" s="80">
        <f>F99*'Processing conversions'!H99</f>
        <v>0</v>
      </c>
      <c r="H99" s="73">
        <f t="shared" si="4"/>
        <v>0</v>
      </c>
      <c r="I99" s="756">
        <f t="shared" si="5"/>
        <v>0</v>
      </c>
      <c r="J99" s="38"/>
    </row>
    <row r="100" spans="1:10" x14ac:dyDescent="0.15">
      <c r="A100" s="15" t="s">
        <v>129</v>
      </c>
      <c r="B100" s="15" t="s">
        <v>135</v>
      </c>
      <c r="C100" s="312" t="s">
        <v>432</v>
      </c>
      <c r="D100" s="140">
        <f>Fruit_intake*'Food preferences'!I94</f>
        <v>1.6416312503084716E-3</v>
      </c>
      <c r="E100" s="79">
        <f>Fruit_intake*'Food preferences'!I94*'Nutrient composition'!F100</f>
        <v>0.2363949000444199</v>
      </c>
      <c r="F100" s="79">
        <f>E100*'Losses and waste'!I100*'Losses and waste'!J100*'Losses and waste'!K100*'Losses and waste'!L100</f>
        <v>0.27942659579718665</v>
      </c>
      <c r="G100" s="80">
        <f>F100*'Processing conversions'!H100</f>
        <v>0.27942659579718665</v>
      </c>
      <c r="H100" s="73">
        <f t="shared" si="4"/>
        <v>101.99070746597313</v>
      </c>
      <c r="I100" s="756">
        <f t="shared" si="5"/>
        <v>0.224649135387606</v>
      </c>
      <c r="J100" s="38"/>
    </row>
    <row r="101" spans="1:10" x14ac:dyDescent="0.15">
      <c r="A101" s="15" t="s">
        <v>129</v>
      </c>
      <c r="B101" s="15" t="s">
        <v>136</v>
      </c>
      <c r="C101" s="312" t="s">
        <v>429</v>
      </c>
      <c r="D101" s="140">
        <f>Fruit_intake*'Food preferences'!I95</f>
        <v>9.2223226749558219E-3</v>
      </c>
      <c r="E101" s="79">
        <f>Fruit_intake*'Food preferences'!I95*'Nutrient composition'!F101</f>
        <v>1.3649037558934616</v>
      </c>
      <c r="F101" s="79">
        <f>E101*'Losses and waste'!I101*'Losses and waste'!J101*'Losses and waste'!K101*'Losses and waste'!L101</f>
        <v>2.0601866753429094</v>
      </c>
      <c r="G101" s="80">
        <f>F101*'Processing conversions'!H101</f>
        <v>2.0601866753429094</v>
      </c>
      <c r="H101" s="73">
        <f t="shared" si="4"/>
        <v>751.9681365001619</v>
      </c>
      <c r="I101" s="756">
        <f t="shared" si="5"/>
        <v>1.6563174812778896</v>
      </c>
      <c r="J101" s="38"/>
    </row>
    <row r="102" spans="1:10" x14ac:dyDescent="0.15">
      <c r="A102" s="15" t="s">
        <v>129</v>
      </c>
      <c r="B102" s="15" t="s">
        <v>136</v>
      </c>
      <c r="C102" s="312" t="s">
        <v>432</v>
      </c>
      <c r="D102" s="140">
        <f>Fruit_intake*'Food preferences'!I96</f>
        <v>3.0154467750917228E-2</v>
      </c>
      <c r="E102" s="79">
        <f>Fruit_intake*'Food preferences'!I96*'Nutrient composition'!F102</f>
        <v>4.6739425013921707</v>
      </c>
      <c r="F102" s="79">
        <f>E102*'Losses and waste'!I102*'Losses and waste'!J102*'Losses and waste'!K102*'Losses and waste'!L102</f>
        <v>5.6904973716713183</v>
      </c>
      <c r="G102" s="80">
        <f>F102*'Processing conversions'!H102</f>
        <v>5.6904973716713183</v>
      </c>
      <c r="H102" s="73">
        <f t="shared" si="4"/>
        <v>2077.0315406600312</v>
      </c>
      <c r="I102" s="756">
        <f t="shared" si="5"/>
        <v>4.574959340660862</v>
      </c>
      <c r="J102" s="38"/>
    </row>
    <row r="103" spans="1:10" x14ac:dyDescent="0.15">
      <c r="A103" s="15" t="s">
        <v>129</v>
      </c>
      <c r="B103" s="15" t="s">
        <v>137</v>
      </c>
      <c r="C103" s="312" t="s">
        <v>429</v>
      </c>
      <c r="D103" s="140">
        <f>Fruit_intake*'Food preferences'!I97</f>
        <v>4.7219420326094594E-2</v>
      </c>
      <c r="E103" s="79">
        <f>Fruit_intake*'Food preferences'!I97*'Nutrient composition'!F103</f>
        <v>8.3578373977187432</v>
      </c>
      <c r="F103" s="79">
        <f>E103*'Losses and waste'!I103*'Losses and waste'!J103*'Losses and waste'!K103*'Losses and waste'!L103</f>
        <v>25.3598303612591</v>
      </c>
      <c r="G103" s="80">
        <f>F103*'Processing conversions'!H103</f>
        <v>25.3598303612591</v>
      </c>
      <c r="H103" s="73">
        <f t="shared" si="4"/>
        <v>9256.3380818595706</v>
      </c>
      <c r="I103" s="756">
        <f t="shared" si="5"/>
        <v>20.38840987193738</v>
      </c>
      <c r="J103" s="38"/>
    </row>
    <row r="104" spans="1:10" x14ac:dyDescent="0.15">
      <c r="A104" s="15" t="s">
        <v>129</v>
      </c>
      <c r="B104" s="15" t="s">
        <v>138</v>
      </c>
      <c r="C104" s="312" t="s">
        <v>429</v>
      </c>
      <c r="D104" s="140">
        <f>Fruit_intake*'Food preferences'!I98</f>
        <v>1.426926286323585E-2</v>
      </c>
      <c r="E104" s="79">
        <f>Fruit_intake*'Food preferences'!I98*'Nutrient composition'!F104</f>
        <v>1.9691582751265473</v>
      </c>
      <c r="F104" s="79">
        <f>E104*'Losses and waste'!I104*'Losses and waste'!J104*'Losses and waste'!K104*'Losses and waste'!L104</f>
        <v>3.0585253019187939</v>
      </c>
      <c r="G104" s="80">
        <f>F104*'Processing conversions'!H104</f>
        <v>3.0585253019187939</v>
      </c>
      <c r="H104" s="73">
        <f t="shared" si="4"/>
        <v>1116.3617352003598</v>
      </c>
      <c r="I104" s="756">
        <f t="shared" si="5"/>
        <v>2.4589465533047572</v>
      </c>
      <c r="J104" s="38"/>
    </row>
    <row r="105" spans="1:10" x14ac:dyDescent="0.15">
      <c r="A105" s="15" t="s">
        <v>129</v>
      </c>
      <c r="B105" s="15" t="s">
        <v>138</v>
      </c>
      <c r="C105" s="312" t="s">
        <v>431</v>
      </c>
      <c r="D105" s="140">
        <f>Fruit_intake*'Food preferences'!I99</f>
        <v>1.4525076286178954E-3</v>
      </c>
      <c r="E105" s="79">
        <f>Fruit_intake*'Food preferences'!I99*'Nutrient composition'!F105</f>
        <v>0.36022189189723808</v>
      </c>
      <c r="F105" s="79">
        <f>E105*'Losses and waste'!I105*'Losses and waste'!J105*'Losses and waste'!K105*'Losses and waste'!L105</f>
        <v>0.50882406715981032</v>
      </c>
      <c r="G105" s="80">
        <f>F105*'Processing conversions'!H105</f>
        <v>0.50882406715981032</v>
      </c>
      <c r="H105" s="73">
        <f t="shared" si="4"/>
        <v>185.72078451333076</v>
      </c>
      <c r="I105" s="756">
        <f t="shared" si="5"/>
        <v>0.4090766178707726</v>
      </c>
      <c r="J105" s="38"/>
    </row>
    <row r="106" spans="1:10" x14ac:dyDescent="0.15">
      <c r="A106" s="15" t="s">
        <v>129</v>
      </c>
      <c r="B106" s="15" t="s">
        <v>138</v>
      </c>
      <c r="C106" s="312" t="s">
        <v>432</v>
      </c>
      <c r="D106" s="140">
        <f>Fruit_intake*'Food preferences'!I100</f>
        <v>1.1723556103956546E-2</v>
      </c>
      <c r="E106" s="79">
        <f>Fruit_intake*'Food preferences'!I100*'Nutrient composition'!F106</f>
        <v>1.8171511961132647</v>
      </c>
      <c r="F106" s="79">
        <f>E106*'Losses and waste'!I106*'Losses and waste'!J106*'Losses and waste'!K106*'Losses and waste'!L106</f>
        <v>2.384205470077688</v>
      </c>
      <c r="G106" s="80">
        <f>F106*'Processing conversions'!H106</f>
        <v>2.384205470077688</v>
      </c>
      <c r="H106" s="73">
        <f t="shared" si="4"/>
        <v>870.23499657835612</v>
      </c>
      <c r="I106" s="756">
        <f t="shared" si="5"/>
        <v>1.9168171730800796</v>
      </c>
      <c r="J106" s="38"/>
    </row>
    <row r="107" spans="1:10" x14ac:dyDescent="0.15">
      <c r="A107" s="15" t="s">
        <v>129</v>
      </c>
      <c r="B107" s="15" t="s">
        <v>139</v>
      </c>
      <c r="C107" s="312" t="s">
        <v>429</v>
      </c>
      <c r="D107" s="140">
        <f>Fruit_intake*'Food preferences'!I101</f>
        <v>2.0162455269477132E-3</v>
      </c>
      <c r="E107" s="79">
        <f>Fruit_intake*'Food preferences'!I101*'Nutrient composition'!F107</f>
        <v>0.22178700796424844</v>
      </c>
      <c r="F107" s="79">
        <f>E107*'Losses and waste'!I107*'Losses and waste'!J107*'Losses and waste'!K107*'Losses and waste'!L107</f>
        <v>0.31339466157424467</v>
      </c>
      <c r="G107" s="80">
        <f>F107*'Processing conversions'!H107</f>
        <v>0.31339466157424467</v>
      </c>
      <c r="H107" s="73">
        <f t="shared" si="4"/>
        <v>114.3890514745993</v>
      </c>
      <c r="I107" s="756">
        <f t="shared" si="5"/>
        <v>0.25195826315991032</v>
      </c>
      <c r="J107" s="38"/>
    </row>
    <row r="108" spans="1:10" x14ac:dyDescent="0.15">
      <c r="A108" s="15" t="s">
        <v>129</v>
      </c>
      <c r="B108" s="15" t="s">
        <v>139</v>
      </c>
      <c r="C108" s="312" t="s">
        <v>554</v>
      </c>
      <c r="D108" s="140">
        <f>Fruit_intake*'Food preferences'!I102</f>
        <v>2.3590003711406505E-2</v>
      </c>
      <c r="E108" s="79">
        <f>Fruit_intake*'Food preferences'!I102*'Nutrient composition'!F108</f>
        <v>5.9682709389858459</v>
      </c>
      <c r="F108" s="79">
        <f>E108*'Losses and waste'!I108*'Losses and waste'!J108*'Losses and waste'!K108*'Losses and waste'!L108</f>
        <v>7.2879067988710187</v>
      </c>
      <c r="G108" s="80">
        <f>F108*'Processing conversions'!H108</f>
        <v>7.2879067988710187</v>
      </c>
      <c r="H108" s="73">
        <f t="shared" si="4"/>
        <v>2660.0859815879217</v>
      </c>
      <c r="I108" s="756">
        <f t="shared" si="5"/>
        <v>5.859220223761942</v>
      </c>
      <c r="J108" s="38"/>
    </row>
    <row r="109" spans="1:10" x14ac:dyDescent="0.15">
      <c r="A109" s="15" t="s">
        <v>129</v>
      </c>
      <c r="B109" s="15" t="s">
        <v>140</v>
      </c>
      <c r="C109" s="312" t="s">
        <v>517</v>
      </c>
      <c r="D109" s="140">
        <f>Fruit_intake*'Food preferences'!I103</f>
        <v>5.178309445541561E-3</v>
      </c>
      <c r="E109" s="79">
        <f>Fruit_intake*'Food preferences'!I103*'Nutrient composition'!F109</f>
        <v>0.76121148849460951</v>
      </c>
      <c r="F109" s="79">
        <f>E109*'Losses and waste'!I109*'Losses and waste'!J109*'Losses and waste'!K109*'Losses and waste'!L109</f>
        <v>1.0697350836475337</v>
      </c>
      <c r="G109" s="80">
        <f>F109*'Processing conversions'!H109</f>
        <v>1.0697350836475337</v>
      </c>
      <c r="H109" s="73">
        <f t="shared" si="4"/>
        <v>390.45330553134977</v>
      </c>
      <c r="I109" s="756">
        <f t="shared" si="5"/>
        <v>0.86002930733777483</v>
      </c>
      <c r="J109" s="38"/>
    </row>
    <row r="110" spans="1:10" x14ac:dyDescent="0.15">
      <c r="A110" s="15" t="s">
        <v>129</v>
      </c>
      <c r="B110" s="15" t="s">
        <v>141</v>
      </c>
      <c r="C110" s="312" t="s">
        <v>517</v>
      </c>
      <c r="D110" s="140">
        <f>Fruit_intake*'Food preferences'!I104</f>
        <v>2.8960118795113925E-3</v>
      </c>
      <c r="E110" s="79">
        <f>Fruit_intake*'Food preferences'!I104*'Nutrient composition'!F110</f>
        <v>0.43150577004719748</v>
      </c>
      <c r="F110" s="79">
        <f>E110*'Losses and waste'!I110*'Losses and waste'!J110*'Losses and waste'!K110*'Losses and waste'!L110</f>
        <v>1.4995590590292682</v>
      </c>
      <c r="G110" s="80">
        <f>F110*'Processing conversions'!H110</f>
        <v>1.4995590590292682</v>
      </c>
      <c r="H110" s="73">
        <f t="shared" si="4"/>
        <v>547.33905654568287</v>
      </c>
      <c r="I110" s="756">
        <f t="shared" si="5"/>
        <v>1.2055926355631781</v>
      </c>
      <c r="J110" s="38"/>
    </row>
    <row r="111" spans="1:10" x14ac:dyDescent="0.15">
      <c r="A111" s="15" t="s">
        <v>129</v>
      </c>
      <c r="B111" s="15" t="s">
        <v>142</v>
      </c>
      <c r="C111" s="312" t="s">
        <v>429</v>
      </c>
      <c r="D111" s="140">
        <f>Fruit_intake*'Food preferences'!I105</f>
        <v>0.10709717238958767</v>
      </c>
      <c r="E111" s="79">
        <f>Fruit_intake*'Food preferences'!I105*'Nutrient composition'!F111</f>
        <v>9.8529398598420652</v>
      </c>
      <c r="F111" s="79">
        <f>E111*'Losses and waste'!I111*'Losses and waste'!J111*'Losses and waste'!K111*'Losses and waste'!L111</f>
        <v>15.25522108825326</v>
      </c>
      <c r="G111" s="80">
        <f>F111*'Processing conversions'!H111</f>
        <v>15.25522108825326</v>
      </c>
      <c r="H111" s="73">
        <f t="shared" si="4"/>
        <v>5568.1556972124399</v>
      </c>
      <c r="I111" s="756">
        <f t="shared" si="5"/>
        <v>12.26466012601859</v>
      </c>
      <c r="J111" s="38"/>
    </row>
    <row r="112" spans="1:10" x14ac:dyDescent="0.15">
      <c r="A112" s="15" t="s">
        <v>129</v>
      </c>
      <c r="B112" s="15" t="s">
        <v>142</v>
      </c>
      <c r="C112" s="312" t="s">
        <v>554</v>
      </c>
      <c r="D112" s="140">
        <f>Fruit_intake*'Food preferences'!I106</f>
        <v>4.5998818290140665E-2</v>
      </c>
      <c r="E112" s="79">
        <f>Fruit_intake*'Food preferences'!I106*'Nutrient composition'!F112</f>
        <v>11.637701027405589</v>
      </c>
      <c r="F112" s="79">
        <f>E112*'Losses and waste'!I112*'Losses and waste'!J112*'Losses and waste'!K112*'Losses and waste'!L112</f>
        <v>17.001980410319742</v>
      </c>
      <c r="G112" s="80">
        <f>F112*'Processing conversions'!H112</f>
        <v>17.001980410319742</v>
      </c>
      <c r="H112" s="73">
        <f t="shared" si="4"/>
        <v>6205.7228497667056</v>
      </c>
      <c r="I112" s="756">
        <f t="shared" si="5"/>
        <v>13.668993061160144</v>
      </c>
      <c r="J112" s="38"/>
    </row>
    <row r="113" spans="1:10" x14ac:dyDescent="0.15">
      <c r="A113" s="15" t="s">
        <v>129</v>
      </c>
      <c r="B113" s="15" t="s">
        <v>143</v>
      </c>
      <c r="C113" s="312" t="s">
        <v>429</v>
      </c>
      <c r="D113" s="140">
        <f>Fruit_intake*'Food preferences'!I107</f>
        <v>6.1205614424005477E-3</v>
      </c>
      <c r="E113" s="79">
        <f>Fruit_intake*'Food preferences'!I107*'Nutrient composition'!F113</f>
        <v>1.083339375304897</v>
      </c>
      <c r="F113" s="79">
        <f>E113*'Losses and waste'!I113*'Losses and waste'!J113*'Losses and waste'!K113*'Losses and waste'!L113</f>
        <v>4.1427794438905412</v>
      </c>
      <c r="G113" s="80">
        <f>F113*'Processing conversions'!H113</f>
        <v>4.1427794438905412</v>
      </c>
      <c r="H113" s="73">
        <f t="shared" si="4"/>
        <v>1512.1144970200476</v>
      </c>
      <c r="I113" s="756">
        <f t="shared" si="5"/>
        <v>3.3306486718503252</v>
      </c>
      <c r="J113" s="38"/>
    </row>
    <row r="114" spans="1:10" x14ac:dyDescent="0.15">
      <c r="A114" s="15" t="s">
        <v>129</v>
      </c>
      <c r="B114" s="15" t="s">
        <v>144</v>
      </c>
      <c r="C114" s="312" t="s">
        <v>429</v>
      </c>
      <c r="D114" s="140">
        <f>Fruit_intake*'Food preferences'!I108</f>
        <v>4.3429156303577861E-3</v>
      </c>
      <c r="E114" s="79">
        <f>Fruit_intake*'Food preferences'!I108*'Nutrient composition'!F114</f>
        <v>0.78172481346440148</v>
      </c>
      <c r="F114" s="79">
        <f>E114*'Losses and waste'!I114*'Losses and waste'!J114*'Losses and waste'!K114*'Losses and waste'!L114</f>
        <v>1.4295137321916691</v>
      </c>
      <c r="G114" s="80">
        <f>F114*'Processing conversions'!H114</f>
        <v>1.4295137321916691</v>
      </c>
      <c r="H114" s="73">
        <f t="shared" si="4"/>
        <v>521.77251224995928</v>
      </c>
      <c r="I114" s="756">
        <f t="shared" si="5"/>
        <v>1.1492786613435226</v>
      </c>
      <c r="J114" s="38"/>
    </row>
    <row r="115" spans="1:10" x14ac:dyDescent="0.15">
      <c r="A115" s="15" t="s">
        <v>129</v>
      </c>
      <c r="B115" s="15" t="s">
        <v>145</v>
      </c>
      <c r="C115" s="312" t="s">
        <v>429</v>
      </c>
      <c r="D115" s="140">
        <f>Fruit_intake*'Food preferences'!I109</f>
        <v>0</v>
      </c>
      <c r="E115" s="79">
        <f>Fruit_intake*'Food preferences'!I109*'Nutrient composition'!F115</f>
        <v>0</v>
      </c>
      <c r="F115" s="79">
        <f>E115*'Losses and waste'!I115*'Losses and waste'!J115*'Losses and waste'!K115*'Losses and waste'!L115</f>
        <v>0</v>
      </c>
      <c r="G115" s="80">
        <f>F115*'Processing conversions'!H115</f>
        <v>0</v>
      </c>
      <c r="H115" s="73">
        <f t="shared" si="4"/>
        <v>0</v>
      </c>
      <c r="I115" s="756">
        <f t="shared" si="5"/>
        <v>0</v>
      </c>
      <c r="J115" s="38"/>
    </row>
    <row r="116" spans="1:10" x14ac:dyDescent="0.15">
      <c r="A116" s="15" t="s">
        <v>129</v>
      </c>
      <c r="B116" s="15" t="s">
        <v>146</v>
      </c>
      <c r="C116" s="312" t="s">
        <v>431</v>
      </c>
      <c r="D116" s="140">
        <f>Fruit_intake*'Food preferences'!I110</f>
        <v>1.8170482994416766E-2</v>
      </c>
      <c r="E116" s="79">
        <f>Fruit_intake*'Food preferences'!I110*'Nutrient composition'!F116</f>
        <v>2.6165495511960142</v>
      </c>
      <c r="F116" s="79">
        <f>E116*'Losses and waste'!I116*'Losses and waste'!J116*'Losses and waste'!K116*'Losses and waste'!L116</f>
        <v>3.2784190594181744</v>
      </c>
      <c r="G116" s="80">
        <f>F116*'Processing conversions'!H116</f>
        <v>3.2784190594181744</v>
      </c>
      <c r="H116" s="73">
        <f t="shared" si="4"/>
        <v>1196.6229566876336</v>
      </c>
      <c r="I116" s="756">
        <f t="shared" si="5"/>
        <v>2.6357333847745235</v>
      </c>
      <c r="J116" s="38"/>
    </row>
    <row r="117" spans="1:10" x14ac:dyDescent="0.15">
      <c r="A117" s="15" t="s">
        <v>129</v>
      </c>
      <c r="B117" s="15" t="s">
        <v>147</v>
      </c>
      <c r="C117" s="312" t="s">
        <v>429</v>
      </c>
      <c r="D117" s="140">
        <f>Fruit_intake*'Food preferences'!I111</f>
        <v>4.7696763017409848E-2</v>
      </c>
      <c r="E117" s="79">
        <f>Fruit_intake*'Food preferences'!I111*'Nutrient composition'!F117</f>
        <v>7.3453015046811165</v>
      </c>
      <c r="F117" s="79">
        <f>E117*'Losses and waste'!I117*'Losses and waste'!J117*'Losses and waste'!K117*'Losses and waste'!L117</f>
        <v>14.519972470455752</v>
      </c>
      <c r="G117" s="80">
        <f>F117*'Processing conversions'!H117</f>
        <v>14.519972470455752</v>
      </c>
      <c r="H117" s="73">
        <f t="shared" si="4"/>
        <v>5299.7899517163496</v>
      </c>
      <c r="I117" s="756">
        <f t="shared" si="5"/>
        <v>11.673546149154955</v>
      </c>
      <c r="J117" s="38"/>
    </row>
    <row r="118" spans="1:10" x14ac:dyDescent="0.15">
      <c r="A118" s="15" t="s">
        <v>129</v>
      </c>
      <c r="B118" s="15" t="s">
        <v>147</v>
      </c>
      <c r="C118" s="312" t="s">
        <v>431</v>
      </c>
      <c r="D118" s="140">
        <f>Fruit_intake*'Food preferences'!I112</f>
        <v>2.9040969943516261E-2</v>
      </c>
      <c r="E118" s="79">
        <f>Fruit_intake*'Food preferences'!I112*'Nutrient composition'!F118</f>
        <v>7.0859966662179676</v>
      </c>
      <c r="F118" s="79">
        <f>E118*'Losses and waste'!I118*'Losses and waste'!J118*'Losses and waste'!K118*'Losses and waste'!L118</f>
        <v>10.051059101018392</v>
      </c>
      <c r="G118" s="80">
        <f>F118*'Processing conversions'!H118</f>
        <v>10.051059101018392</v>
      </c>
      <c r="H118" s="73">
        <f t="shared" si="4"/>
        <v>3668.6365718717134</v>
      </c>
      <c r="I118" s="756">
        <f t="shared" si="5"/>
        <v>8.0806972948716158</v>
      </c>
      <c r="J118" s="38"/>
    </row>
    <row r="119" spans="1:10" x14ac:dyDescent="0.15">
      <c r="A119" s="15" t="s">
        <v>129</v>
      </c>
      <c r="B119" s="15" t="s">
        <v>147</v>
      </c>
      <c r="C119" s="312" t="s">
        <v>432</v>
      </c>
      <c r="D119" s="140">
        <f>Fruit_intake*'Food preferences'!I113</f>
        <v>9.2473664459647529E-3</v>
      </c>
      <c r="E119" s="79">
        <f>Fruit_intake*'Food preferences'!I113*'Nutrient composition'!F119</f>
        <v>1.4333417991245367</v>
      </c>
      <c r="F119" s="79">
        <f>E119*'Losses and waste'!I119*'Losses and waste'!J119*'Losses and waste'!K119*'Losses and waste'!L119</f>
        <v>2.1178218072171049</v>
      </c>
      <c r="G119" s="80">
        <f>F119*'Processing conversions'!H119</f>
        <v>2.1178218072171049</v>
      </c>
      <c r="H119" s="73">
        <f t="shared" si="4"/>
        <v>773.00495963424328</v>
      </c>
      <c r="I119" s="756">
        <f t="shared" si="5"/>
        <v>1.702654096110668</v>
      </c>
      <c r="J119" s="38"/>
    </row>
    <row r="120" spans="1:10" x14ac:dyDescent="0.15">
      <c r="A120" s="15" t="s">
        <v>129</v>
      </c>
      <c r="B120" s="15" t="s">
        <v>147</v>
      </c>
      <c r="C120" s="312" t="s">
        <v>517</v>
      </c>
      <c r="D120" s="140">
        <f>Fruit_intake*'Food preferences'!I114</f>
        <v>1.3100096190842656E-3</v>
      </c>
      <c r="E120" s="79">
        <f>Fruit_intake*'Food preferences'!I114*'Nutrient composition'!F120</f>
        <v>0.2096015390534825</v>
      </c>
      <c r="F120" s="79">
        <f>E120*'Losses and waste'!I120*'Losses and waste'!J120*'Losses and waste'!K120*'Losses and waste'!L120</f>
        <v>1.4902520773128802</v>
      </c>
      <c r="G120" s="80">
        <f>F120*'Processing conversions'!H120</f>
        <v>1.4902520773128802</v>
      </c>
      <c r="H120" s="73">
        <f t="shared" si="4"/>
        <v>543.94200821920128</v>
      </c>
      <c r="I120" s="756">
        <f t="shared" si="5"/>
        <v>1.198110150262558</v>
      </c>
      <c r="J120" s="38"/>
    </row>
    <row r="121" spans="1:10" x14ac:dyDescent="0.15">
      <c r="A121" s="15" t="s">
        <v>129</v>
      </c>
      <c r="B121" s="15" t="s">
        <v>148</v>
      </c>
      <c r="C121" s="312" t="s">
        <v>429</v>
      </c>
      <c r="D121" s="140">
        <f>Fruit_intake*'Food preferences'!I115</f>
        <v>3.4445402363908258E-2</v>
      </c>
      <c r="E121" s="79">
        <f>Fruit_intake*'Food preferences'!I115*'Nutrient composition'!F121</f>
        <v>4.3056752954885322</v>
      </c>
      <c r="F121" s="79">
        <f>E121*'Losses and waste'!I121*'Losses and waste'!J121*'Losses and waste'!K121*'Losses and waste'!L121</f>
        <v>7.6374261421679295</v>
      </c>
      <c r="G121" s="80">
        <f>F121*'Processing conversions'!H121</f>
        <v>7.6374261421679295</v>
      </c>
      <c r="H121" s="73">
        <f t="shared" si="4"/>
        <v>2787.6605418912941</v>
      </c>
      <c r="I121" s="756">
        <f t="shared" si="5"/>
        <v>6.1402214579103394</v>
      </c>
      <c r="J121" s="38"/>
    </row>
    <row r="122" spans="1:10" x14ac:dyDescent="0.15">
      <c r="A122" s="15" t="s">
        <v>129</v>
      </c>
      <c r="B122" s="15" t="s">
        <v>148</v>
      </c>
      <c r="C122" s="312" t="s">
        <v>431</v>
      </c>
      <c r="D122" s="140">
        <f>Fruit_intake*'Food preferences'!I116</f>
        <v>2.5683421584188501E-2</v>
      </c>
      <c r="E122" s="79">
        <f>Fruit_intake*'Food preferences'!I116*'Nutrient composition'!F122</f>
        <v>6.2667548665419943</v>
      </c>
      <c r="F122" s="79">
        <f>E122*'Losses and waste'!I122*'Losses and waste'!J122*'Losses and waste'!K122*'Losses and waste'!L122</f>
        <v>7.4075116625791892</v>
      </c>
      <c r="G122" s="80">
        <f>F122*'Processing conversions'!H122</f>
        <v>7.4075116625791892</v>
      </c>
      <c r="H122" s="73">
        <f t="shared" si="4"/>
        <v>2703.7417568414039</v>
      </c>
      <c r="I122" s="756">
        <f t="shared" si="5"/>
        <v>5.9553783190339296</v>
      </c>
      <c r="J122" s="38"/>
    </row>
    <row r="123" spans="1:10" x14ac:dyDescent="0.15">
      <c r="A123" s="15" t="s">
        <v>129</v>
      </c>
      <c r="B123" s="15" t="s">
        <v>148</v>
      </c>
      <c r="C123" s="312" t="s">
        <v>517</v>
      </c>
      <c r="D123" s="140">
        <f>Fruit_intake*'Food preferences'!I117</f>
        <v>8.100068450342576E-5</v>
      </c>
      <c r="E123" s="79">
        <f>Fruit_intake*'Food preferences'!I117*'Nutrient composition'!F123</f>
        <v>1.4580123210616637E-2</v>
      </c>
      <c r="F123" s="79">
        <f>E123*'Losses and waste'!I123*'Losses and waste'!J123*'Losses and waste'!K123*'Losses and waste'!L123</f>
        <v>0.10874772749289711</v>
      </c>
      <c r="G123" s="80">
        <f>F123*'Processing conversions'!H123</f>
        <v>0.10874772749289711</v>
      </c>
      <c r="H123" s="73">
        <f t="shared" si="4"/>
        <v>39.692920534907444</v>
      </c>
      <c r="I123" s="756">
        <f t="shared" si="5"/>
        <v>8.742934038525868E-2</v>
      </c>
      <c r="J123" s="38"/>
    </row>
    <row r="124" spans="1:10" x14ac:dyDescent="0.15">
      <c r="A124" s="15" t="s">
        <v>129</v>
      </c>
      <c r="B124" s="15" t="s">
        <v>149</v>
      </c>
      <c r="C124" s="312" t="s">
        <v>429</v>
      </c>
      <c r="D124" s="140">
        <f>Fruit_intake*'Food preferences'!I118</f>
        <v>0</v>
      </c>
      <c r="E124" s="79">
        <f>Fruit_intake*'Food preferences'!I118*'Nutrient composition'!F124</f>
        <v>0</v>
      </c>
      <c r="F124" s="79">
        <f>E124*'Losses and waste'!I124*'Losses and waste'!J124*'Losses and waste'!K124*'Losses and waste'!L124</f>
        <v>0</v>
      </c>
      <c r="G124" s="80">
        <f>F124*'Processing conversions'!H124</f>
        <v>0</v>
      </c>
      <c r="H124" s="73">
        <f t="shared" si="4"/>
        <v>0</v>
      </c>
      <c r="I124" s="756">
        <f t="shared" si="5"/>
        <v>0</v>
      </c>
      <c r="J124" s="38"/>
    </row>
    <row r="125" spans="1:10" x14ac:dyDescent="0.15">
      <c r="A125" s="15" t="s">
        <v>129</v>
      </c>
      <c r="B125" s="15" t="s">
        <v>149</v>
      </c>
      <c r="C125" s="312" t="s">
        <v>431</v>
      </c>
      <c r="D125" s="140">
        <f>Fruit_intake*'Food preferences'!I119</f>
        <v>0</v>
      </c>
      <c r="E125" s="79">
        <f>Fruit_intake*'Food preferences'!I119*'Nutrient composition'!F125</f>
        <v>0</v>
      </c>
      <c r="F125" s="79">
        <f>E125*'Losses and waste'!I125*'Losses and waste'!J125*'Losses and waste'!K125*'Losses and waste'!L125</f>
        <v>0</v>
      </c>
      <c r="G125" s="80">
        <f>F125*'Processing conversions'!H125</f>
        <v>0</v>
      </c>
      <c r="H125" s="73">
        <f t="shared" si="4"/>
        <v>0</v>
      </c>
      <c r="I125" s="756">
        <f t="shared" si="5"/>
        <v>0</v>
      </c>
      <c r="J125" s="38"/>
    </row>
    <row r="126" spans="1:10" x14ac:dyDescent="0.15">
      <c r="A126" s="15" t="s">
        <v>129</v>
      </c>
      <c r="B126" s="15" t="s">
        <v>149</v>
      </c>
      <c r="C126" s="312" t="s">
        <v>554</v>
      </c>
      <c r="D126" s="140">
        <f>Fruit_intake*'Food preferences'!I120</f>
        <v>0</v>
      </c>
      <c r="E126" s="79">
        <f>Fruit_intake*'Food preferences'!I120*'Nutrient composition'!F126</f>
        <v>0</v>
      </c>
      <c r="F126" s="79">
        <f>E126*'Losses and waste'!I126*'Losses and waste'!J126*'Losses and waste'!K126*'Losses and waste'!L126</f>
        <v>0</v>
      </c>
      <c r="G126" s="80">
        <f>F126*'Processing conversions'!H126</f>
        <v>0</v>
      </c>
      <c r="H126" s="73">
        <f t="shared" si="4"/>
        <v>0</v>
      </c>
      <c r="I126" s="756">
        <f t="shared" si="5"/>
        <v>0</v>
      </c>
      <c r="J126" s="38"/>
    </row>
    <row r="127" spans="1:10" x14ac:dyDescent="0.15">
      <c r="A127" s="15" t="s">
        <v>129</v>
      </c>
      <c r="B127" s="15" t="s">
        <v>150</v>
      </c>
      <c r="C127" s="312" t="s">
        <v>429</v>
      </c>
      <c r="D127" s="140">
        <f>Fruit_intake*'Food preferences'!I121</f>
        <v>4.3884835785961106E-3</v>
      </c>
      <c r="E127" s="79">
        <f>Fruit_intake*'Food preferences'!I121*'Nutrient composition'!F127</f>
        <v>0.63633011889643598</v>
      </c>
      <c r="F127" s="79">
        <f>E127*'Losses and waste'!I127*'Losses and waste'!J127*'Losses and waste'!K127*'Losses and waste'!L127</f>
        <v>2.7703063365080887</v>
      </c>
      <c r="G127" s="80">
        <f>F127*'Processing conversions'!H127</f>
        <v>2.7703063365080887</v>
      </c>
      <c r="H127" s="73">
        <f t="shared" si="4"/>
        <v>1011.1618128254523</v>
      </c>
      <c r="I127" s="756">
        <f t="shared" si="5"/>
        <v>2.2272286626111284</v>
      </c>
      <c r="J127" s="38"/>
    </row>
    <row r="128" spans="1:10" x14ac:dyDescent="0.15">
      <c r="A128" s="15" t="s">
        <v>129</v>
      </c>
      <c r="B128" s="15" t="s">
        <v>151</v>
      </c>
      <c r="C128" s="312" t="s">
        <v>429</v>
      </c>
      <c r="D128" s="140">
        <f>Fruit_intake*'Food preferences'!I122</f>
        <v>1.110393919138253E-2</v>
      </c>
      <c r="E128" s="79">
        <f>Fruit_intake*'Food preferences'!I122*'Nutrient composition'!F128</f>
        <v>1.8321499665781174</v>
      </c>
      <c r="F128" s="79">
        <f>E128*'Losses and waste'!I128*'Losses and waste'!J128*'Losses and waste'!K128*'Losses and waste'!L128</f>
        <v>3.101708693264722</v>
      </c>
      <c r="G128" s="80">
        <f>F128*'Processing conversions'!H128</f>
        <v>3.101708693264722</v>
      </c>
      <c r="H128" s="73">
        <f t="shared" si="4"/>
        <v>1132.1236730416235</v>
      </c>
      <c r="I128" s="756">
        <f t="shared" si="5"/>
        <v>2.4936644780652499</v>
      </c>
      <c r="J128" s="38"/>
    </row>
    <row r="129" spans="1:10" x14ac:dyDescent="0.15">
      <c r="A129" s="15" t="s">
        <v>129</v>
      </c>
      <c r="B129" s="15" t="s">
        <v>151</v>
      </c>
      <c r="C129" s="312" t="s">
        <v>431</v>
      </c>
      <c r="D129" s="140">
        <f>Fruit_intake*'Food preferences'!I123</f>
        <v>1.5494919344401733E-4</v>
      </c>
      <c r="E129" s="79">
        <f>Fruit_intake*'Food preferences'!I123*'Nutrient composition'!F129</f>
        <v>3.8582349167560315E-2</v>
      </c>
      <c r="F129" s="79">
        <f>E129*'Losses and waste'!I129*'Losses and waste'!J129*'Losses and waste'!K129*'Losses and waste'!L129</f>
        <v>6.8864476646591094E-2</v>
      </c>
      <c r="G129" s="80">
        <f>F129*'Processing conversions'!H129</f>
        <v>6.8864476646591094E-2</v>
      </c>
      <c r="H129" s="73">
        <f t="shared" si="4"/>
        <v>25.13553397600575</v>
      </c>
      <c r="I129" s="756">
        <f t="shared" si="5"/>
        <v>5.5364612281950991E-2</v>
      </c>
      <c r="J129" s="38"/>
    </row>
    <row r="130" spans="1:10" x14ac:dyDescent="0.15">
      <c r="A130" s="15" t="s">
        <v>129</v>
      </c>
      <c r="B130" s="15" t="s">
        <v>152</v>
      </c>
      <c r="C130" s="312" t="s">
        <v>432</v>
      </c>
      <c r="D130" s="140">
        <f>Fruit_intake*'Food preferences'!I124</f>
        <v>1.1389395678668502E-4</v>
      </c>
      <c r="E130" s="79">
        <f>Fruit_intake*'Food preferences'!I124*'Nutrient composition'!F130</f>
        <v>1.7653563301936178E-2</v>
      </c>
      <c r="F130" s="79">
        <f>E130*'Losses and waste'!I130*'Losses and waste'!J130*'Losses and waste'!K130*'Losses and waste'!L130</f>
        <v>2.4623173399863699E-2</v>
      </c>
      <c r="G130" s="80">
        <f>F130*'Processing conversions'!H130</f>
        <v>2.4623173399863699E-2</v>
      </c>
      <c r="H130" s="73">
        <f t="shared" si="4"/>
        <v>8.9874582909502507</v>
      </c>
      <c r="I130" s="756">
        <f t="shared" si="5"/>
        <v>1.9796163636454298E-2</v>
      </c>
      <c r="J130" s="38"/>
    </row>
    <row r="131" spans="1:10" x14ac:dyDescent="0.15">
      <c r="A131" s="15" t="s">
        <v>129</v>
      </c>
      <c r="B131" s="15" t="s">
        <v>151</v>
      </c>
      <c r="C131" s="312" t="s">
        <v>517</v>
      </c>
      <c r="D131" s="140">
        <f>Fruit_intake*'Food preferences'!I125</f>
        <v>9.4063285326840378E-3</v>
      </c>
      <c r="E131" s="79">
        <f>Fruit_intake*'Food preferences'!I125*'Nutrient composition'!F131</f>
        <v>1.6367011646870226</v>
      </c>
      <c r="F131" s="79">
        <f>E131*'Losses and waste'!I131*'Losses and waste'!J131*'Losses and waste'!K131*'Losses and waste'!L131</f>
        <v>5.0300508607402588</v>
      </c>
      <c r="G131" s="80">
        <f>F131*'Processing conversions'!H131</f>
        <v>5.0300508607402588</v>
      </c>
      <c r="H131" s="73">
        <f t="shared" si="4"/>
        <v>1835.9685641701944</v>
      </c>
      <c r="I131" s="756">
        <f t="shared" si="5"/>
        <v>4.043983621520252</v>
      </c>
      <c r="J131" s="38"/>
    </row>
    <row r="132" spans="1:10" x14ac:dyDescent="0.15">
      <c r="A132" s="15" t="s">
        <v>129</v>
      </c>
      <c r="B132" s="15" t="s">
        <v>153</v>
      </c>
      <c r="C132" s="312" t="s">
        <v>554</v>
      </c>
      <c r="D132" s="140">
        <f>Fruit_intake*'Food preferences'!I126</f>
        <v>3.774077533667436E-3</v>
      </c>
      <c r="E132" s="79">
        <f>Fruit_intake*'Food preferences'!I126*'Nutrient composition'!F132</f>
        <v>0.96616384861886362</v>
      </c>
      <c r="F132" s="79">
        <f>E132*'Losses and waste'!I132*'Losses and waste'!J132*'Losses and waste'!K132*'Losses and waste'!L132</f>
        <v>1.5794137659128344</v>
      </c>
      <c r="G132" s="80">
        <f>F132*'Processing conversions'!H132</f>
        <v>1.5794137659128344</v>
      </c>
      <c r="H132" s="73">
        <f t="shared" si="4"/>
        <v>576.48602455818457</v>
      </c>
      <c r="I132" s="756">
        <f t="shared" si="5"/>
        <v>1.2697930056347677</v>
      </c>
      <c r="J132" s="38"/>
    </row>
    <row r="133" spans="1:10" x14ac:dyDescent="0.15">
      <c r="A133" s="15" t="s">
        <v>129</v>
      </c>
      <c r="B133" s="15" t="s">
        <v>154</v>
      </c>
      <c r="C133" s="312" t="s">
        <v>517</v>
      </c>
      <c r="D133" s="140">
        <f>Fruit_intake*'Food preferences'!I127</f>
        <v>5.5012864142247105E-2</v>
      </c>
      <c r="E133" s="79">
        <f>Fruit_intake*'Food preferences'!I127*'Nutrient composition'!F133</f>
        <v>9.0771225834707714</v>
      </c>
      <c r="F133" s="79">
        <f>E133*'Losses and waste'!I133*'Losses and waste'!J133*'Losses and waste'!K133*'Losses and waste'!L133</f>
        <v>52.209248619073819</v>
      </c>
      <c r="G133" s="80">
        <f>F133*'Processing conversions'!H133</f>
        <v>52.209248619073819</v>
      </c>
      <c r="H133" s="73">
        <f t="shared" si="4"/>
        <v>19056.375745961945</v>
      </c>
      <c r="I133" s="756">
        <f t="shared" si="5"/>
        <v>41.974395916215734</v>
      </c>
      <c r="J133" s="38"/>
    </row>
    <row r="134" spans="1:10" x14ac:dyDescent="0.15">
      <c r="A134" s="15" t="s">
        <v>129</v>
      </c>
      <c r="B134" s="15" t="s">
        <v>155</v>
      </c>
      <c r="C134" s="312" t="s">
        <v>429</v>
      </c>
      <c r="D134" s="140">
        <f>Fruit_intake*'Food preferences'!I128</f>
        <v>5.3858091783022923E-3</v>
      </c>
      <c r="E134" s="79">
        <f>Fruit_intake*'Food preferences'!I128*'Nutrient composition'!F134</f>
        <v>0.66245452893118195</v>
      </c>
      <c r="F134" s="79">
        <f>E134*'Losses and waste'!I134*'Losses and waste'!J134*'Losses and waste'!K134*'Losses and waste'!L134</f>
        <v>0.93730700017393165</v>
      </c>
      <c r="G134" s="80">
        <f>F134*'Processing conversions'!H134</f>
        <v>0.93730700017393165</v>
      </c>
      <c r="H134" s="73">
        <f t="shared" si="4"/>
        <v>342.11705506348505</v>
      </c>
      <c r="I134" s="756">
        <f t="shared" si="5"/>
        <v>0.7535617952940199</v>
      </c>
      <c r="J134" s="38"/>
    </row>
    <row r="135" spans="1:10" x14ac:dyDescent="0.15">
      <c r="A135" s="15" t="s">
        <v>129</v>
      </c>
      <c r="B135" s="15" t="s">
        <v>155</v>
      </c>
      <c r="C135" s="312" t="s">
        <v>432</v>
      </c>
      <c r="D135" s="140">
        <f>Fruit_intake*'Food preferences'!I129</f>
        <v>6.5005259477417757E-3</v>
      </c>
      <c r="E135" s="79">
        <f>Fruit_intake*'Food preferences'!I129*'Nutrient composition'!F135</f>
        <v>0.79956469157223842</v>
      </c>
      <c r="F135" s="79">
        <f>E135*'Losses and waste'!I135*'Losses and waste'!J135*'Losses and waste'!K135*'Losses and waste'!L135</f>
        <v>0.99236752500100522</v>
      </c>
      <c r="G135" s="80">
        <f>F135*'Processing conversions'!H135</f>
        <v>0.99236752500100522</v>
      </c>
      <c r="H135" s="73">
        <f t="shared" si="4"/>
        <v>362.21414662536688</v>
      </c>
      <c r="I135" s="756">
        <f t="shared" si="5"/>
        <v>0.79782851679596234</v>
      </c>
      <c r="J135" s="38"/>
    </row>
    <row r="136" spans="1:10" x14ac:dyDescent="0.15">
      <c r="A136" s="15" t="s">
        <v>129</v>
      </c>
      <c r="B136" s="15" t="s">
        <v>156</v>
      </c>
      <c r="C136" s="312" t="s">
        <v>429</v>
      </c>
      <c r="D136" s="140">
        <f>Fruit_intake*'Food preferences'!I130</f>
        <v>8.1691152726835262E-2</v>
      </c>
      <c r="E136" s="79">
        <f>Fruit_intake*'Food preferences'!I130*'Nutrient composition'!F136</f>
        <v>12.41705521447896</v>
      </c>
      <c r="F136" s="79">
        <f>E136*'Losses and waste'!I136*'Losses and waste'!J136*'Losses and waste'!K136*'Losses and waste'!L136</f>
        <v>19.887714863096949</v>
      </c>
      <c r="G136" s="80">
        <f>F136*'Processing conversions'!H136</f>
        <v>19.887714863096949</v>
      </c>
      <c r="H136" s="73">
        <f t="shared" si="4"/>
        <v>7259.0159250303868</v>
      </c>
      <c r="I136" s="756">
        <f t="shared" si="5"/>
        <v>15.989021861300412</v>
      </c>
      <c r="J136" s="38"/>
    </row>
    <row r="137" spans="1:10" x14ac:dyDescent="0.15">
      <c r="A137" s="15" t="s">
        <v>129</v>
      </c>
      <c r="B137" s="15" t="s">
        <v>156</v>
      </c>
      <c r="C137" s="312" t="s">
        <v>432</v>
      </c>
      <c r="D137" s="140">
        <f>Fruit_intake*'Food preferences'!I131</f>
        <v>8.2193841082099234E-3</v>
      </c>
      <c r="E137" s="79">
        <f>Fruit_intake*'Food preferences'!I131*'Nutrient composition'!F137</f>
        <v>1.816483887914393</v>
      </c>
      <c r="F137" s="79">
        <f>E137*'Losses and waste'!I137*'Losses and waste'!J137*'Losses and waste'!K137*'Losses and waste'!L137</f>
        <v>1.9109582272385452</v>
      </c>
      <c r="G137" s="80">
        <f>F137*'Processing conversions'!H137</f>
        <v>1.9109582272385452</v>
      </c>
      <c r="H137" s="73">
        <f t="shared" si="4"/>
        <v>697.49975294206899</v>
      </c>
      <c r="I137" s="756">
        <f t="shared" si="5"/>
        <v>1.5363430681543371</v>
      </c>
      <c r="J137" s="38"/>
    </row>
    <row r="138" spans="1:10" x14ac:dyDescent="0.15">
      <c r="A138" s="25" t="s">
        <v>129</v>
      </c>
      <c r="B138" s="25" t="s">
        <v>157</v>
      </c>
      <c r="C138" s="99" t="s">
        <v>429</v>
      </c>
      <c r="D138" s="141">
        <f>Fruit_intake*'Food preferences'!I132</f>
        <v>7.6380638732237299E-2</v>
      </c>
      <c r="E138" s="10">
        <f>Fruit_intake*'Food preferences'!I132*'Nutrient composition'!F138</f>
        <v>11.762618364764544</v>
      </c>
      <c r="F138" s="10">
        <f>E138*'Losses and waste'!I138*'Losses and waste'!J138*'Losses and waste'!K138*'Losses and waste'!L138</f>
        <v>37.750833718120852</v>
      </c>
      <c r="G138" s="84">
        <f>F138*'Processing conversions'!H138</f>
        <v>37.750833718120852</v>
      </c>
      <c r="H138" s="85">
        <f t="shared" si="4"/>
        <v>13779.054307114111</v>
      </c>
      <c r="I138" s="757">
        <f t="shared" si="5"/>
        <v>30.350339883511257</v>
      </c>
      <c r="J138" s="38"/>
    </row>
    <row r="139" spans="1:10" s="308" customFormat="1" x14ac:dyDescent="0.15">
      <c r="A139" s="162" t="s">
        <v>702</v>
      </c>
      <c r="B139" s="153"/>
      <c r="C139" s="178"/>
      <c r="D139" s="153"/>
      <c r="E139" s="153"/>
      <c r="F139" s="153"/>
      <c r="G139" s="153"/>
      <c r="H139" s="153"/>
      <c r="I139" s="153"/>
      <c r="J139" s="39"/>
    </row>
    <row r="140" spans="1:10" x14ac:dyDescent="0.15">
      <c r="A140" s="15" t="s">
        <v>7</v>
      </c>
      <c r="B140" s="15" t="s">
        <v>188</v>
      </c>
      <c r="C140" s="312" t="s">
        <v>1009</v>
      </c>
      <c r="D140" s="288">
        <f>Fluidmilk_yogurt_intake*'Food preferences'!I133</f>
        <v>0.2797800075741369</v>
      </c>
      <c r="E140" s="733">
        <f>Fluidmilk_yogurt_intake*'Food preferences'!I133*'Nutrient composition'!F140</f>
        <v>68.266321848089405</v>
      </c>
      <c r="F140" s="79">
        <f>E140*'Losses and waste'!I140*'Losses and waste'!J140*'Losses and waste'!K140*'Losses and waste'!L140</f>
        <v>96.969207170581555</v>
      </c>
      <c r="G140" s="80">
        <f>F140*'Processing conversions'!H140</f>
        <v>86.48604963862681</v>
      </c>
      <c r="H140" s="73">
        <f t="shared" si="4"/>
        <v>31567.408118098785</v>
      </c>
      <c r="I140" s="756">
        <f t="shared" si="5"/>
        <v>69.53173594294887</v>
      </c>
      <c r="J140" s="38"/>
    </row>
    <row r="141" spans="1:10" x14ac:dyDescent="0.15">
      <c r="A141" s="15" t="s">
        <v>7</v>
      </c>
      <c r="B141" s="15" t="s">
        <v>188</v>
      </c>
      <c r="C141" s="312" t="s">
        <v>1010</v>
      </c>
      <c r="D141" s="288">
        <f>Fluidmilk_yogurt_intake*'Food preferences'!I134</f>
        <v>0.32085327600812835</v>
      </c>
      <c r="E141" s="733">
        <f>Fluidmilk_yogurt_intake*'Food preferences'!I134*'Nutrient composition'!F141</f>
        <v>78.288199345983315</v>
      </c>
      <c r="F141" s="79">
        <f>E141*'Losses and waste'!I141*'Losses and waste'!J141*'Losses and waste'!K141*'Losses and waste'!L141</f>
        <v>111.2048286164536</v>
      </c>
      <c r="G141" s="80">
        <f>F141*'Processing conversions'!H141</f>
        <v>59.509610989345447</v>
      </c>
      <c r="H141" s="73">
        <f t="shared" si="4"/>
        <v>21721.008011111087</v>
      </c>
      <c r="I141" s="756">
        <f t="shared" si="5"/>
        <v>47.8436299804209</v>
      </c>
      <c r="J141" s="38"/>
    </row>
    <row r="142" spans="1:10" x14ac:dyDescent="0.15">
      <c r="A142" s="15" t="s">
        <v>7</v>
      </c>
      <c r="B142" s="15" t="s">
        <v>188</v>
      </c>
      <c r="C142" s="312" t="s">
        <v>1011</v>
      </c>
      <c r="D142" s="288">
        <f>Fluidmilk_yogurt_intake*'Food preferences'!I135</f>
        <v>0.11647392931036543</v>
      </c>
      <c r="E142" s="733">
        <f>Fluidmilk_yogurt_intake*'Food preferences'!I135*'Nutrient composition'!F142</f>
        <v>28.419638751729167</v>
      </c>
      <c r="F142" s="79">
        <f>E142*'Losses and waste'!I142*'Losses and waste'!J142*'Losses and waste'!K142*'Losses and waste'!L142</f>
        <v>40.368805045069841</v>
      </c>
      <c r="G142" s="80">
        <f>F142*'Processing conversions'!H142</f>
        <v>10.583173214518311</v>
      </c>
      <c r="H142" s="73">
        <f t="shared" si="4"/>
        <v>3862.8582232991835</v>
      </c>
      <c r="I142" s="756">
        <f t="shared" si="5"/>
        <v>8.5084982892052494</v>
      </c>
      <c r="J142" s="38"/>
    </row>
    <row r="143" spans="1:10" x14ac:dyDescent="0.15">
      <c r="A143" s="15" t="s">
        <v>7</v>
      </c>
      <c r="B143" s="15" t="s">
        <v>188</v>
      </c>
      <c r="C143" s="312" t="s">
        <v>1012</v>
      </c>
      <c r="D143" s="288">
        <f>Fluidmilk_yogurt_intake*'Food preferences'!I136</f>
        <v>0.14292197403221074</v>
      </c>
      <c r="E143" s="733">
        <f>Fluidmilk_yogurt_intake*'Food preferences'!I136*'Nutrient composition'!F143</f>
        <v>35.015883637891633</v>
      </c>
      <c r="F143" s="79">
        <f>E143*'Losses and waste'!I143*'Losses and waste'!J143*'Losses and waste'!K143*'Losses and waste'!L143</f>
        <v>49.738471076550624</v>
      </c>
      <c r="G143" s="80">
        <f>F143*'Processing conversions'!H143</f>
        <v>2.6885660041378716</v>
      </c>
      <c r="H143" s="73">
        <f t="shared" ref="H143:H212" si="6">G143*365</f>
        <v>981.32659151032317</v>
      </c>
      <c r="I143" s="756">
        <f t="shared" ref="I143:I212" si="7">H143/454</f>
        <v>2.1615123161020335</v>
      </c>
      <c r="J143" s="38"/>
    </row>
    <row r="144" spans="1:10" x14ac:dyDescent="0.15">
      <c r="A144" s="15" t="s">
        <v>7</v>
      </c>
      <c r="B144" s="15" t="s">
        <v>188</v>
      </c>
      <c r="C144" s="312" t="s">
        <v>1013</v>
      </c>
      <c r="D144" s="288">
        <f>Fluidmilk_yogurt_intake*'Food preferences'!I137</f>
        <v>1.1174612533374727E-2</v>
      </c>
      <c r="E144" s="733">
        <f>Fluidmilk_yogurt_intake*'Food preferences'!I137*'Nutrient composition'!F144</f>
        <v>2.7936531333436818</v>
      </c>
      <c r="F144" s="79">
        <f>E144*'Losses and waste'!I144*'Losses and waste'!J144*'Losses and waste'!K144*'Losses and waste'!L144</f>
        <v>3.9682572916813665</v>
      </c>
      <c r="G144" s="80">
        <f>F144*'Processing conversions'!H144</f>
        <v>3.5392565033914893</v>
      </c>
      <c r="H144" s="73">
        <f t="shared" si="6"/>
        <v>1291.8286237378936</v>
      </c>
      <c r="I144" s="756">
        <f t="shared" si="7"/>
        <v>2.84543749722003</v>
      </c>
      <c r="J144" s="38"/>
    </row>
    <row r="145" spans="1:10" x14ac:dyDescent="0.15">
      <c r="A145" s="15" t="s">
        <v>7</v>
      </c>
      <c r="B145" s="15" t="s">
        <v>188</v>
      </c>
      <c r="C145" s="312" t="s">
        <v>1014</v>
      </c>
      <c r="D145" s="288">
        <f>Fluidmilk_yogurt_intake*'Food preferences'!I138</f>
        <v>6.3673696866086732E-2</v>
      </c>
      <c r="E145" s="733">
        <f>Fluidmilk_yogurt_intake*'Food preferences'!I138*'Nutrient composition'!F145</f>
        <v>15.918424216521682</v>
      </c>
      <c r="F145" s="79">
        <f>E145*'Losses and waste'!I145*'Losses and waste'!J145*'Losses and waste'!K145*'Losses and waste'!L145</f>
        <v>22.611398034831939</v>
      </c>
      <c r="G145" s="80">
        <f>F145*'Processing conversions'!H145</f>
        <v>10.633468265029073</v>
      </c>
      <c r="H145" s="73">
        <f t="shared" si="6"/>
        <v>3881.2159167356117</v>
      </c>
      <c r="I145" s="756">
        <f t="shared" si="7"/>
        <v>8.5489337373031091</v>
      </c>
      <c r="J145" s="38"/>
    </row>
    <row r="146" spans="1:10" x14ac:dyDescent="0.15">
      <c r="A146" s="15" t="s">
        <v>7</v>
      </c>
      <c r="B146" s="15" t="s">
        <v>164</v>
      </c>
      <c r="C146" s="312" t="s">
        <v>164</v>
      </c>
      <c r="D146" s="288">
        <f>Fluidmilk_yogurt_intake*'Food preferences'!I139</f>
        <v>6.5122503675697233E-2</v>
      </c>
      <c r="E146" s="733">
        <f>Fluidmilk_yogurt_intake*'Food preferences'!I139*'Nutrient composition'!F146</f>
        <v>15.955013400545822</v>
      </c>
      <c r="F146" s="79">
        <f>E146*'Losses and waste'!I146*'Losses and waste'!J146*'Losses and waste'!K146*'Losses and waste'!L146</f>
        <v>22.663371307593497</v>
      </c>
      <c r="G146" s="80">
        <f>F146*'Processing conversions'!H146</f>
        <v>10.657909750057481</v>
      </c>
      <c r="H146" s="73">
        <f t="shared" si="6"/>
        <v>3890.1370587709807</v>
      </c>
      <c r="I146" s="756">
        <f t="shared" si="7"/>
        <v>8.5685838298920274</v>
      </c>
      <c r="J146" s="39"/>
    </row>
    <row r="147" spans="1:10" x14ac:dyDescent="0.15">
      <c r="A147" s="63" t="s">
        <v>7</v>
      </c>
      <c r="B147" s="63" t="s">
        <v>189</v>
      </c>
      <c r="C147" s="696" t="s">
        <v>165</v>
      </c>
      <c r="D147" s="736">
        <f>Cheese_otherdairy_intake*'Food preferences'!I140</f>
        <v>0.24104443157842786</v>
      </c>
      <c r="E147" s="737">
        <f>Cheese_otherdairy_intake*'Food preferences'!I140*'Nutrient composition'!F147</f>
        <v>10.250414452872647</v>
      </c>
      <c r="F147" s="719">
        <f>E147*'Losses and waste'!I147*'Losses and waste'!J147*'Losses and waste'!K147*'Losses and waste'!L147</f>
        <v>12.534133593632484</v>
      </c>
      <c r="G147" s="720">
        <f>F147*'Processing conversions'!H147</f>
        <v>103.32191205561914</v>
      </c>
      <c r="H147" s="721">
        <f t="shared" si="6"/>
        <v>37712.497900300987</v>
      </c>
      <c r="I147" s="758">
        <f t="shared" si="7"/>
        <v>83.067175991852395</v>
      </c>
      <c r="J147" s="38"/>
    </row>
    <row r="148" spans="1:10" x14ac:dyDescent="0.15">
      <c r="A148" s="15" t="s">
        <v>7</v>
      </c>
      <c r="B148" s="15" t="s">
        <v>190</v>
      </c>
      <c r="C148" s="312" t="s">
        <v>166</v>
      </c>
      <c r="D148" s="288">
        <f>Cheese_otherdairy_intake*'Food preferences'!I141</f>
        <v>2.7682295107703876E-2</v>
      </c>
      <c r="E148" s="733">
        <f>Cheese_otherdairy_intake*'Food preferences'!I141*'Nutrient composition'!F148</f>
        <v>1.1771895994551076</v>
      </c>
      <c r="F148" s="79">
        <f>E148*'Losses and waste'!I148*'Losses and waste'!J148*'Losses and waste'!K148*'Losses and waste'!L148</f>
        <v>1.4394590357729364</v>
      </c>
      <c r="G148" s="80">
        <f>F148*'Processing conversions'!H148</f>
        <v>9.6288138203730238</v>
      </c>
      <c r="H148" s="73">
        <f t="shared" si="6"/>
        <v>3514.5170444361538</v>
      </c>
      <c r="I148" s="756">
        <f t="shared" si="7"/>
        <v>7.7412269701236864</v>
      </c>
      <c r="J148" s="38"/>
    </row>
    <row r="149" spans="1:10" x14ac:dyDescent="0.15">
      <c r="A149" s="15" t="s">
        <v>7</v>
      </c>
      <c r="B149" s="15" t="s">
        <v>190</v>
      </c>
      <c r="C149" s="312" t="s">
        <v>167</v>
      </c>
      <c r="D149" s="288">
        <f>Cheese_otherdairy_intake*'Food preferences'!I142</f>
        <v>6.7018969091984567E-3</v>
      </c>
      <c r="E149" s="733">
        <f>Cheese_otherdairy_intake*'Food preferences'!I142*'Nutrient composition'!F149</f>
        <v>0.2849981660636644</v>
      </c>
      <c r="F149" s="79">
        <f>E149*'Losses and waste'!I149*'Losses and waste'!J149*'Losses and waste'!K149*'Losses and waste'!L149</f>
        <v>0.3484937222593108</v>
      </c>
      <c r="G149" s="80">
        <f>F149*'Processing conversions'!H149</f>
        <v>2.3622223119631123</v>
      </c>
      <c r="H149" s="73">
        <f t="shared" si="6"/>
        <v>862.21114386653596</v>
      </c>
      <c r="I149" s="756">
        <f t="shared" si="7"/>
        <v>1.8991434886928105</v>
      </c>
      <c r="J149" s="38"/>
    </row>
    <row r="150" spans="1:10" x14ac:dyDescent="0.15">
      <c r="A150" s="15" t="s">
        <v>7</v>
      </c>
      <c r="B150" s="15" t="s">
        <v>190</v>
      </c>
      <c r="C150" s="312" t="s">
        <v>168</v>
      </c>
      <c r="D150" s="288">
        <f>Cheese_otherdairy_intake*'Food preferences'!I143</f>
        <v>1.6329835018394748E-2</v>
      </c>
      <c r="E150" s="733">
        <f>Cheese_otherdairy_intake*'Food preferences'!I143*'Nutrient composition'!F150</f>
        <v>0.69442623415723681</v>
      </c>
      <c r="F150" s="79">
        <f>E150*'Losses and waste'!I150*'Losses and waste'!J150*'Losses and waste'!K150*'Losses and waste'!L150</f>
        <v>0.84913944015313858</v>
      </c>
      <c r="G150" s="80">
        <f>F150*'Processing conversions'!H150</f>
        <v>4.9938578966844034</v>
      </c>
      <c r="H150" s="73">
        <f t="shared" si="6"/>
        <v>1822.7581322898072</v>
      </c>
      <c r="I150" s="756">
        <f t="shared" si="7"/>
        <v>4.0148857539423064</v>
      </c>
      <c r="J150" s="38"/>
    </row>
    <row r="151" spans="1:10" x14ac:dyDescent="0.15">
      <c r="A151" s="15" t="s">
        <v>7</v>
      </c>
      <c r="B151" s="15" t="s">
        <v>190</v>
      </c>
      <c r="C151" s="312" t="s">
        <v>169</v>
      </c>
      <c r="D151" s="288">
        <f>Cheese_otherdairy_intake*'Food preferences'!I144</f>
        <v>0.25577614288073247</v>
      </c>
      <c r="E151" s="733">
        <f>Cheese_otherdairy_intake*'Food preferences'!I144*'Nutrient composition'!F151</f>
        <v>10.87688047600315</v>
      </c>
      <c r="F151" s="79">
        <f>E151*'Losses and waste'!I151*'Losses and waste'!J151*'Losses and waste'!K151*'Losses and waste'!L151</f>
        <v>13.300171773053496</v>
      </c>
      <c r="G151" s="80">
        <f>F151*'Processing conversions'!H151</f>
        <v>64.703538355395395</v>
      </c>
      <c r="H151" s="73">
        <f t="shared" si="6"/>
        <v>23616.791499719318</v>
      </c>
      <c r="I151" s="756">
        <f t="shared" si="7"/>
        <v>52.019364536826693</v>
      </c>
      <c r="J151" s="38"/>
    </row>
    <row r="152" spans="1:10" x14ac:dyDescent="0.15">
      <c r="A152" s="15" t="s">
        <v>7</v>
      </c>
      <c r="B152" s="15" t="s">
        <v>190</v>
      </c>
      <c r="C152" s="312" t="s">
        <v>170</v>
      </c>
      <c r="D152" s="288">
        <f>Cheese_otherdairy_intake*'Food preferences'!I145</f>
        <v>6.9308705449748105E-3</v>
      </c>
      <c r="E152" s="733">
        <f>Cheese_otherdairy_intake*'Food preferences'!I145*'Nutrient composition'!F152</f>
        <v>0.8524970770319017</v>
      </c>
      <c r="F152" s="79">
        <f>E152*'Losses and waste'!I152*'Losses and waste'!J152*'Losses and waste'!K152*'Losses and waste'!L152</f>
        <v>1.0424273380189553</v>
      </c>
      <c r="G152" s="80">
        <f>F152*'Processing conversions'!H152</f>
        <v>3.6569477966178487</v>
      </c>
      <c r="H152" s="73">
        <f t="shared" si="6"/>
        <v>1334.7859457655147</v>
      </c>
      <c r="I152" s="756">
        <f t="shared" si="7"/>
        <v>2.9400571492632483</v>
      </c>
      <c r="J152" s="38"/>
    </row>
    <row r="153" spans="1:10" x14ac:dyDescent="0.15">
      <c r="A153" s="15" t="s">
        <v>7</v>
      </c>
      <c r="B153" s="15" t="s">
        <v>191</v>
      </c>
      <c r="C153" s="312" t="s">
        <v>171</v>
      </c>
      <c r="D153" s="288">
        <f>Cheese_otherdairy_intake*'Food preferences'!I146</f>
        <v>2.9730011121192494E-2</v>
      </c>
      <c r="E153" s="733">
        <f>Cheese_otherdairy_intake*'Food preferences'!I146*'Nutrient composition'!F153</f>
        <v>1.2642687229287111</v>
      </c>
      <c r="F153" s="79">
        <f>E153*'Losses and waste'!I153*'Losses and waste'!J153*'Losses and waste'!K153*'Losses and waste'!L153</f>
        <v>1.5459387661148336</v>
      </c>
      <c r="G153" s="80">
        <f>F153*'Processing conversions'!H153</f>
        <v>10.600126080090092</v>
      </c>
      <c r="H153" s="73">
        <f t="shared" si="6"/>
        <v>3869.0460192328837</v>
      </c>
      <c r="I153" s="756">
        <f t="shared" si="7"/>
        <v>8.522127795667144</v>
      </c>
      <c r="J153" s="38"/>
    </row>
    <row r="154" spans="1:10" x14ac:dyDescent="0.15">
      <c r="A154" s="15" t="s">
        <v>7</v>
      </c>
      <c r="B154" s="15" t="s">
        <v>191</v>
      </c>
      <c r="C154" s="312" t="s">
        <v>172</v>
      </c>
      <c r="D154" s="288">
        <f>Cheese_otherdairy_intake*'Food preferences'!I147</f>
        <v>5.982704343624357E-4</v>
      </c>
      <c r="E154" s="733">
        <f>Cheese_otherdairy_intake*'Food preferences'!I147*'Nutrient composition'!F154</f>
        <v>2.5441450221262582E-2</v>
      </c>
      <c r="F154" s="79">
        <f>E154*'Losses and waste'!I154*'Losses and waste'!J154*'Losses and waste'!K154*'Losses and waste'!L154</f>
        <v>3.1109623650357764E-2</v>
      </c>
      <c r="G154" s="80">
        <f>F154*'Processing conversions'!H154</f>
        <v>0.23542417897568044</v>
      </c>
      <c r="H154" s="73">
        <f t="shared" si="6"/>
        <v>85.929825326123364</v>
      </c>
      <c r="I154" s="756">
        <f t="shared" si="7"/>
        <v>0.18927274300908231</v>
      </c>
      <c r="J154" s="38"/>
    </row>
    <row r="155" spans="1:10" x14ac:dyDescent="0.15">
      <c r="A155" s="15" t="s">
        <v>7</v>
      </c>
      <c r="B155" s="15" t="s">
        <v>191</v>
      </c>
      <c r="C155" s="312" t="s">
        <v>173</v>
      </c>
      <c r="D155" s="288">
        <f>Cheese_otherdairy_intake*'Food preferences'!I148</f>
        <v>8.3555791607753151E-3</v>
      </c>
      <c r="E155" s="733">
        <f>Cheese_otherdairy_intake*'Food preferences'!I148*'Nutrient composition'!F155</f>
        <v>0.35532100381197035</v>
      </c>
      <c r="F155" s="79">
        <f>E155*'Losses and waste'!I155*'Losses and waste'!J155*'Losses and waste'!K155*'Losses and waste'!L155</f>
        <v>0.4344839860747986</v>
      </c>
      <c r="G155" s="80">
        <f>F155*'Processing conversions'!H155</f>
        <v>3.1705588173025849</v>
      </c>
      <c r="H155" s="73">
        <f t="shared" si="6"/>
        <v>1157.2539683154434</v>
      </c>
      <c r="I155" s="756">
        <f t="shared" si="7"/>
        <v>2.5490175513556022</v>
      </c>
      <c r="J155" s="38"/>
    </row>
    <row r="156" spans="1:10" x14ac:dyDescent="0.15">
      <c r="A156" s="15" t="s">
        <v>7</v>
      </c>
      <c r="B156" s="15" t="s">
        <v>191</v>
      </c>
      <c r="C156" s="312" t="s">
        <v>174</v>
      </c>
      <c r="D156" s="288">
        <f>Cheese_otherdairy_intake*'Food preferences'!I149</f>
        <v>4.6746304270130516E-3</v>
      </c>
      <c r="E156" s="733">
        <f>Cheese_otherdairy_intake*'Food preferences'!I149*'Nutrient composition'!F156</f>
        <v>0.19878865890873004</v>
      </c>
      <c r="F156" s="79">
        <f>E156*'Losses and waste'!I156*'Losses and waste'!J156*'Losses and waste'!K156*'Losses and waste'!L156</f>
        <v>0.24307735254185622</v>
      </c>
      <c r="G156" s="80">
        <f>F156*'Processing conversions'!H156</f>
        <v>1.77380770773787</v>
      </c>
      <c r="H156" s="73">
        <f t="shared" si="6"/>
        <v>647.43981332432259</v>
      </c>
      <c r="I156" s="756">
        <f t="shared" si="7"/>
        <v>1.4260788839742788</v>
      </c>
      <c r="J156" s="38"/>
    </row>
    <row r="157" spans="1:10" x14ac:dyDescent="0.15">
      <c r="A157" s="15" t="s">
        <v>7</v>
      </c>
      <c r="B157" s="15" t="s">
        <v>191</v>
      </c>
      <c r="C157" s="312" t="s">
        <v>175</v>
      </c>
      <c r="D157" s="288">
        <f>Cheese_otherdairy_intake*'Food preferences'!I150</f>
        <v>0.11061694701928446</v>
      </c>
      <c r="E157" s="733">
        <f>Cheese_otherdairy_intake*'Food preferences'!I150*'Nutrient composition'!F157</f>
        <v>4.7039856719950723</v>
      </c>
      <c r="F157" s="733">
        <f>E157*'Losses and waste'!I157*'Losses and waste'!J157*'Losses and waste'!K157*'Losses and waste'!L157</f>
        <v>5.7520000880350599</v>
      </c>
      <c r="G157" s="273">
        <f>F157*'Processing conversions'!H157</f>
        <v>41.72920604407598</v>
      </c>
      <c r="H157" s="274">
        <f t="shared" si="6"/>
        <v>15231.160206087732</v>
      </c>
      <c r="I157" s="681">
        <f t="shared" si="7"/>
        <v>33.548811026624961</v>
      </c>
      <c r="J157" s="38"/>
    </row>
    <row r="158" spans="1:10" x14ac:dyDescent="0.15">
      <c r="A158" s="15" t="s">
        <v>7</v>
      </c>
      <c r="B158" s="15" t="s">
        <v>192</v>
      </c>
      <c r="C158" s="312" t="s">
        <v>176</v>
      </c>
      <c r="D158" s="288">
        <f>Cheese_otherdairy_intake*'Food preferences'!I151</f>
        <v>2.2245583301763868E-3</v>
      </c>
      <c r="E158" s="733">
        <f>Cheese_otherdairy_intake*'Food preferences'!I151*'Nutrient composition'!F158</f>
        <v>0.93431449867408245</v>
      </c>
      <c r="F158" s="79">
        <f>E158*'Losses and waste'!I158*'Losses and waste'!J158*'Losses and waste'!K158*'Losses and waste'!L158</f>
        <v>1.1424730969357817</v>
      </c>
      <c r="G158" s="80">
        <f>F158*'Processing conversions'!H158</f>
        <v>1.2351060507413856</v>
      </c>
      <c r="H158" s="73">
        <f t="shared" si="6"/>
        <v>450.81370852060576</v>
      </c>
      <c r="I158" s="756">
        <f t="shared" si="7"/>
        <v>0.99298173682952806</v>
      </c>
      <c r="J158" s="38"/>
    </row>
    <row r="159" spans="1:10" x14ac:dyDescent="0.15">
      <c r="A159" s="15" t="s">
        <v>7</v>
      </c>
      <c r="B159" s="15" t="s">
        <v>192</v>
      </c>
      <c r="C159" s="312" t="s">
        <v>177</v>
      </c>
      <c r="D159" s="288">
        <f>Cheese_otherdairy_intake*'Food preferences'!I152</f>
        <v>2.6098905410363968E-3</v>
      </c>
      <c r="E159" s="733">
        <f>Cheese_otherdairy_intake*'Food preferences'!I152*'Nutrient composition'!F159</f>
        <v>1.1796705245484513</v>
      </c>
      <c r="F159" s="79">
        <f>E159*'Losses and waste'!I159*'Losses and waste'!J159*'Losses and waste'!K159*'Losses and waste'!L159</f>
        <v>1.6756683587335959</v>
      </c>
      <c r="G159" s="80">
        <f>F159*'Processing conversions'!H159</f>
        <v>0.2264416700991346</v>
      </c>
      <c r="H159" s="73">
        <f t="shared" si="6"/>
        <v>82.651209586184123</v>
      </c>
      <c r="I159" s="756">
        <f t="shared" si="7"/>
        <v>0.18205112243652891</v>
      </c>
      <c r="J159" s="38"/>
    </row>
    <row r="160" spans="1:10" x14ac:dyDescent="0.15">
      <c r="A160" s="15" t="s">
        <v>7</v>
      </c>
      <c r="B160" s="15" t="s">
        <v>193</v>
      </c>
      <c r="C160" s="312" t="s">
        <v>178</v>
      </c>
      <c r="D160" s="288">
        <f>Cheese_otherdairy_intake*'Food preferences'!I153</f>
        <v>5.7496344796781743E-2</v>
      </c>
      <c r="E160" s="733">
        <f>Cheese_otherdairy_intake*'Food preferences'!I153*'Nutrient composition'!F160</f>
        <v>11.384276269762784</v>
      </c>
      <c r="F160" s="79">
        <f>E160*'Losses and waste'!I160*'Losses and waste'!J160*'Losses and waste'!K160*'Losses and waste'!L160</f>
        <v>16.170846974094864</v>
      </c>
      <c r="G160" s="80">
        <f>F160*'Processing conversions'!H160</f>
        <v>43.704991821878018</v>
      </c>
      <c r="H160" s="73">
        <f t="shared" si="6"/>
        <v>15952.322014985477</v>
      </c>
      <c r="I160" s="756">
        <f t="shared" si="7"/>
        <v>35.137273160760962</v>
      </c>
      <c r="J160" s="38"/>
    </row>
    <row r="161" spans="1:10" x14ac:dyDescent="0.15">
      <c r="A161" s="15" t="s">
        <v>7</v>
      </c>
      <c r="B161" s="15" t="s">
        <v>193</v>
      </c>
      <c r="C161" s="312" t="s">
        <v>179</v>
      </c>
      <c r="D161" s="288">
        <f>Cheese_otherdairy_intake*'Food preferences'!I154</f>
        <v>2.7862536798640428E-2</v>
      </c>
      <c r="E161" s="733">
        <f>Cheese_otherdairy_intake*'Food preferences'!I154*'Nutrient composition'!F161</f>
        <v>7.3557097148410735</v>
      </c>
      <c r="F161" s="79">
        <f>E161*'Losses and waste'!I161*'Losses and waste'!J161*'Losses and waste'!K161*'Losses and waste'!L161</f>
        <v>10.448451299490161</v>
      </c>
      <c r="G161" s="80">
        <f>F161*'Processing conversions'!H161</f>
        <v>5.647811513237925</v>
      </c>
      <c r="H161" s="73">
        <f t="shared" si="6"/>
        <v>2061.4512023318425</v>
      </c>
      <c r="I161" s="756">
        <f t="shared" si="7"/>
        <v>4.5406414148278467</v>
      </c>
      <c r="J161" s="38"/>
    </row>
    <row r="162" spans="1:10" x14ac:dyDescent="0.15">
      <c r="A162" s="15" t="s">
        <v>7</v>
      </c>
      <c r="B162" s="15" t="s">
        <v>193</v>
      </c>
      <c r="C162" s="312" t="s">
        <v>175</v>
      </c>
      <c r="D162" s="288">
        <f>Cheese_otherdairy_intake*'Food preferences'!I155</f>
        <v>1.7586731349730173E-2</v>
      </c>
      <c r="E162" s="733">
        <f>Cheese_otherdairy_intake*'Food preferences'!I155*'Nutrient composition'!F162</f>
        <v>4.0625349417876704</v>
      </c>
      <c r="F162" s="733">
        <f>E162*'Losses and waste'!I162*'Losses and waste'!J162*'Losses and waste'!K162*'Losses and waste'!L162</f>
        <v>5.7706462241302141</v>
      </c>
      <c r="G162" s="273">
        <f>F162*'Processing conversions'!H162</f>
        <v>1.5596341146297876</v>
      </c>
      <c r="H162" s="274">
        <f t="shared" si="6"/>
        <v>569.2664518398725</v>
      </c>
      <c r="I162" s="681">
        <f t="shared" si="7"/>
        <v>1.2538908630834196</v>
      </c>
      <c r="J162" s="38"/>
    </row>
    <row r="163" spans="1:10" x14ac:dyDescent="0.15">
      <c r="A163" s="15" t="s">
        <v>7</v>
      </c>
      <c r="B163" s="15" t="s">
        <v>194</v>
      </c>
      <c r="C163" s="312" t="s">
        <v>180</v>
      </c>
      <c r="D163" s="288">
        <f>Cheese_otherdairy_intake*'Food preferences'!I156</f>
        <v>1.0701521709655524E-2</v>
      </c>
      <c r="E163" s="733">
        <f>Cheese_otherdairy_intake*'Food preferences'!I156*'Nutrient composition'!F163</f>
        <v>1.348391735416596</v>
      </c>
      <c r="F163" s="79">
        <f>E163*'Losses and waste'!I163*'Losses and waste'!J163*'Losses and waste'!K163*'Losses and waste'!L163</f>
        <v>1.9153291696258468</v>
      </c>
      <c r="G163" s="80">
        <f>F163*'Processing conversions'!H163</f>
        <v>4.2447835651167418</v>
      </c>
      <c r="H163" s="73">
        <f t="shared" si="6"/>
        <v>1549.3460012676107</v>
      </c>
      <c r="I163" s="756">
        <f t="shared" si="7"/>
        <v>3.4126563904572924</v>
      </c>
      <c r="J163" s="38"/>
    </row>
    <row r="164" spans="1:10" x14ac:dyDescent="0.15">
      <c r="A164" s="15" t="s">
        <v>7</v>
      </c>
      <c r="B164" s="15" t="s">
        <v>194</v>
      </c>
      <c r="C164" s="312" t="s">
        <v>181</v>
      </c>
      <c r="D164" s="288">
        <f>Cheese_otherdairy_intake*'Food preferences'!I157</f>
        <v>4.4784181177342629E-3</v>
      </c>
      <c r="E164" s="733">
        <f>Cheese_otherdairy_intake*'Food preferences'!I157*'Nutrient composition'!F164</f>
        <v>0.56428068283451716</v>
      </c>
      <c r="F164" s="79">
        <f>E164*'Losses and waste'!I164*'Losses and waste'!J164*'Losses and waste'!K164*'Losses and waste'!L164</f>
        <v>0.80153506084448467</v>
      </c>
      <c r="G164" s="80">
        <f>F164*'Processing conversions'!H164</f>
        <v>1.7763749997093985</v>
      </c>
      <c r="H164" s="73">
        <f t="shared" si="6"/>
        <v>648.37687489393045</v>
      </c>
      <c r="I164" s="756">
        <f t="shared" si="7"/>
        <v>1.4281428962421376</v>
      </c>
      <c r="J164" s="38"/>
    </row>
    <row r="165" spans="1:10" x14ac:dyDescent="0.15">
      <c r="A165" s="15" t="s">
        <v>7</v>
      </c>
      <c r="B165" s="15" t="s">
        <v>194</v>
      </c>
      <c r="C165" s="312" t="s">
        <v>182</v>
      </c>
      <c r="D165" s="288">
        <f>Cheese_otherdairy_intake*'Food preferences'!I158</f>
        <v>3.3903352046590292E-2</v>
      </c>
      <c r="E165" s="733">
        <f>Cheese_otherdairy_intake*'Food preferences'!I158*'Nutrient composition'!F165</f>
        <v>4.3396290619635574</v>
      </c>
      <c r="F165" s="79">
        <f>E165*'Losses and waste'!I165*'Losses and waste'!J165*'Losses and waste'!K165*'Losses and waste'!L165</f>
        <v>6.1642458266527802</v>
      </c>
      <c r="G165" s="80">
        <f>F165*'Processing conversions'!H165</f>
        <v>0.33320247711636652</v>
      </c>
      <c r="H165" s="73">
        <f t="shared" si="6"/>
        <v>121.61890414747378</v>
      </c>
      <c r="I165" s="756">
        <f t="shared" si="7"/>
        <v>0.26788304878298191</v>
      </c>
      <c r="J165" s="38"/>
    </row>
    <row r="166" spans="1:10" x14ac:dyDescent="0.15">
      <c r="A166" s="15" t="s">
        <v>7</v>
      </c>
      <c r="B166" s="15" t="s">
        <v>195</v>
      </c>
      <c r="C166" s="312" t="s">
        <v>183</v>
      </c>
      <c r="D166" s="288">
        <f>Cheese_otherdairy_intake*'Food preferences'!I159</f>
        <v>2.0879380391013438E-3</v>
      </c>
      <c r="E166" s="733">
        <f>Cheese_otherdairy_intake*'Food preferences'!I159*'Nutrient composition'!F166</f>
        <v>6.6814017251243002E-2</v>
      </c>
      <c r="F166" s="79">
        <f>E166*'Losses and waste'!I166*'Losses and waste'!J166*'Losses and waste'!K166*'Losses and waste'!L166</f>
        <v>9.490627450460655E-2</v>
      </c>
      <c r="G166" s="80">
        <f>F166*'Processing conversions'!H166</f>
        <v>0.67973412820866852</v>
      </c>
      <c r="H166" s="73">
        <f t="shared" si="6"/>
        <v>248.10295679616402</v>
      </c>
      <c r="I166" s="756">
        <f t="shared" si="7"/>
        <v>0.54648228369199126</v>
      </c>
      <c r="J166" s="38"/>
    </row>
    <row r="167" spans="1:10" x14ac:dyDescent="0.15">
      <c r="A167" s="15" t="s">
        <v>7</v>
      </c>
      <c r="B167" s="15" t="s">
        <v>195</v>
      </c>
      <c r="C167" s="312" t="s">
        <v>184</v>
      </c>
      <c r="D167" s="288">
        <f>Cheese_otherdairy_intake*'Food preferences'!I160</f>
        <v>0.12269714565272272</v>
      </c>
      <c r="E167" s="733">
        <f>Cheese_otherdairy_intake*'Food preferences'!I160*'Nutrient composition'!F167</f>
        <v>2.0858514760962863</v>
      </c>
      <c r="F167" s="79">
        <f>E167*'Losses and waste'!I167*'Losses and waste'!J167*'Losses and waste'!K167*'Losses and waste'!L167</f>
        <v>2.1282027100258003</v>
      </c>
      <c r="G167" s="80">
        <f>F167*'Processing conversions'!H167</f>
        <v>0.46015193730287579</v>
      </c>
      <c r="H167" s="73">
        <f t="shared" si="6"/>
        <v>167.95545711554968</v>
      </c>
      <c r="I167" s="756">
        <f t="shared" si="7"/>
        <v>0.36994594078314907</v>
      </c>
      <c r="J167" s="38"/>
    </row>
    <row r="168" spans="1:10" x14ac:dyDescent="0.15">
      <c r="A168" s="25" t="s">
        <v>7</v>
      </c>
      <c r="B168" s="25" t="s">
        <v>195</v>
      </c>
      <c r="C168" s="34" t="s">
        <v>185</v>
      </c>
      <c r="D168" s="734">
        <f>Cheese_otherdairy_intake*'Food preferences'!I161</f>
        <v>9.9106524157703928E-3</v>
      </c>
      <c r="E168" s="735">
        <f>Cheese_otherdairy_intake*'Food preferences'!I161*'Nutrient composition'!F168</f>
        <v>0.2973195724731118</v>
      </c>
      <c r="F168" s="10">
        <f>E168*'Losses and waste'!I168*'Losses and waste'!J168*'Losses and waste'!K168*'Losses and waste'!L168</f>
        <v>0.30335636411908157</v>
      </c>
      <c r="G168" s="84">
        <f>F168*'Processing conversions'!H168</f>
        <v>0.43453749454895468</v>
      </c>
      <c r="H168" s="85">
        <f t="shared" si="6"/>
        <v>158.60618551036845</v>
      </c>
      <c r="I168" s="757">
        <f t="shared" si="7"/>
        <v>0.34935283152063534</v>
      </c>
      <c r="J168" s="39"/>
    </row>
    <row r="169" spans="1:10" s="308" customFormat="1" ht="14" x14ac:dyDescent="0.15">
      <c r="A169" s="365" t="s">
        <v>720</v>
      </c>
      <c r="B169" s="390" t="s">
        <v>719</v>
      </c>
      <c r="C169" s="397" t="s">
        <v>724</v>
      </c>
      <c r="D169" s="408">
        <f>Soymilk_intake</f>
        <v>0</v>
      </c>
      <c r="E169" s="409">
        <f>Soymilk_intake*'Nutrient composition'!F169</f>
        <v>0</v>
      </c>
      <c r="F169" s="409">
        <f>E169*'Losses and waste'!I169*'Losses and waste'!J169*'Losses and waste'!K169*'Losses and waste'!L169</f>
        <v>0</v>
      </c>
      <c r="G169" s="410">
        <f>F169*'Processing conversions'!H169</f>
        <v>0</v>
      </c>
      <c r="H169" s="411">
        <f t="shared" ref="H169:H170" si="8">G169*365</f>
        <v>0</v>
      </c>
      <c r="I169" s="759">
        <f t="shared" ref="I169:I170" si="9">H169/454</f>
        <v>0</v>
      </c>
      <c r="J169" s="39"/>
    </row>
    <row r="170" spans="1:10" s="308" customFormat="1" ht="14" x14ac:dyDescent="0.15">
      <c r="A170" s="405" t="s">
        <v>723</v>
      </c>
      <c r="B170" s="722" t="s">
        <v>722</v>
      </c>
      <c r="C170" s="723" t="s">
        <v>725</v>
      </c>
      <c r="D170" s="724">
        <f>Vegan_tofu_protein</f>
        <v>0.5</v>
      </c>
      <c r="E170" s="409">
        <f>Vegan_tofu_protein*'Nutrient composition'!F170</f>
        <v>31.5</v>
      </c>
      <c r="F170" s="409">
        <f>E170*'Losses and waste'!I170*'Losses and waste'!J170*'Losses and waste'!K170*'Losses and waste'!L170</f>
        <v>37.234042553191486</v>
      </c>
      <c r="G170" s="410">
        <f>F170*'Processing conversions'!H170</f>
        <v>14.893617021276595</v>
      </c>
      <c r="H170" s="411">
        <f t="shared" si="8"/>
        <v>5436.1702127659573</v>
      </c>
      <c r="I170" s="759">
        <f t="shared" si="9"/>
        <v>11.973943199925015</v>
      </c>
      <c r="J170" s="39"/>
    </row>
    <row r="171" spans="1:10" s="310" customFormat="1" ht="15" x14ac:dyDescent="0.15">
      <c r="A171" s="46" t="s">
        <v>354</v>
      </c>
      <c r="B171" s="15" t="s">
        <v>1017</v>
      </c>
      <c r="C171" s="86" t="s">
        <v>356</v>
      </c>
      <c r="D171" s="140">
        <f>dry_legumes_forprotein_intake*'Food preferences'!I164</f>
        <v>0.8669464142747707</v>
      </c>
      <c r="E171" s="79">
        <f>dry_legumes_forprotein_intake*'Food preferences'!I164*'Nutrient composition'!F171</f>
        <v>37.798863662380001</v>
      </c>
      <c r="F171" s="733">
        <f>E171*(('Nutrient composition'!F171-'Nutrient composition'!G171)/'Nutrient composition'!F171)*'Losses and waste'!I171*'Losses and waste'!J171*'Losses and waste'!K171*'Losses and waste'!L171*1.14</f>
        <v>17.231188366147514</v>
      </c>
      <c r="G171" s="80">
        <f>F171*'Processing conversions'!H171</f>
        <v>17.231188366147514</v>
      </c>
      <c r="H171" s="73">
        <f>G171*365</f>
        <v>6289.3837536438423</v>
      </c>
      <c r="I171" s="756">
        <f>H171/454</f>
        <v>13.853268179832252</v>
      </c>
      <c r="J171" s="472" t="s">
        <v>1289</v>
      </c>
    </row>
    <row r="172" spans="1:10" s="310" customFormat="1" ht="15" x14ac:dyDescent="0.15">
      <c r="A172" s="309" t="s">
        <v>354</v>
      </c>
      <c r="B172" s="315" t="s">
        <v>1018</v>
      </c>
      <c r="C172" s="86" t="s">
        <v>356</v>
      </c>
      <c r="D172" s="140">
        <f>dry_legumes_forprotein_intake*'Food preferences'!I165</f>
        <v>0.13305358572522941</v>
      </c>
      <c r="E172" s="79">
        <f>dry_legumes_forprotein_intake*'Food preferences'!I165*'Nutrient composition'!F172</f>
        <v>6.5528890969675482</v>
      </c>
      <c r="F172" s="733">
        <f>E172*(('Nutrient composition'!F172-'Nutrient composition'!G172)/'Nutrient composition'!F172)*'Losses and waste'!I172*'Losses and waste'!J172*'Losses and waste'!K172*'Losses and waste'!L172*1.14</f>
        <v>2.6874513572042122</v>
      </c>
      <c r="G172" s="371">
        <f>F172*'Processing conversions'!H172</f>
        <v>2.6874513572042122</v>
      </c>
      <c r="H172" s="372">
        <f>G172*365</f>
        <v>980.91974537953752</v>
      </c>
      <c r="I172" s="756">
        <f>H172/454</f>
        <v>2.1606161792500824</v>
      </c>
      <c r="J172" s="472" t="s">
        <v>1289</v>
      </c>
    </row>
    <row r="173" spans="1:10" x14ac:dyDescent="0.15">
      <c r="A173" s="46" t="s">
        <v>354</v>
      </c>
      <c r="B173" s="15" t="s">
        <v>196</v>
      </c>
      <c r="C173" s="312" t="s">
        <v>356</v>
      </c>
      <c r="D173" s="288">
        <f>beef_intake</f>
        <v>0.75</v>
      </c>
      <c r="E173" s="79">
        <f>beef_intake*'Nutrient composition'!F173</f>
        <v>21.262124999999997</v>
      </c>
      <c r="F173" s="79">
        <f>E173*'Losses and waste'!I173*'Losses and waste'!J173*'Losses and waste'!K173*'Losses and waste'!L173</f>
        <v>48.860958705839167</v>
      </c>
      <c r="G173" s="80">
        <f>F173*'Processing conversions'!H173</f>
        <v>81.164383232290973</v>
      </c>
      <c r="H173" s="73">
        <f t="shared" si="6"/>
        <v>29624.999879786206</v>
      </c>
      <c r="I173" s="756">
        <f t="shared" si="7"/>
        <v>65.253303699969621</v>
      </c>
      <c r="J173" s="472"/>
    </row>
    <row r="174" spans="1:10" x14ac:dyDescent="0.15">
      <c r="A174" s="46" t="s">
        <v>354</v>
      </c>
      <c r="B174" s="15" t="s">
        <v>197</v>
      </c>
      <c r="C174" s="312" t="s">
        <v>356</v>
      </c>
      <c r="D174" s="288"/>
      <c r="E174" s="79"/>
      <c r="F174" s="79"/>
      <c r="G174" s="80"/>
      <c r="H174" s="73"/>
      <c r="I174" s="756"/>
      <c r="J174" s="472" t="s">
        <v>1291</v>
      </c>
    </row>
    <row r="175" spans="1:10" x14ac:dyDescent="0.15">
      <c r="A175" s="46" t="s">
        <v>354</v>
      </c>
      <c r="B175" s="15" t="s">
        <v>198</v>
      </c>
      <c r="C175" s="312" t="s">
        <v>356</v>
      </c>
      <c r="D175" s="288">
        <f>pork_intake</f>
        <v>0.75</v>
      </c>
      <c r="E175" s="79">
        <f>pork_intake*'Nutrient composition'!F175</f>
        <v>21.262124999999997</v>
      </c>
      <c r="F175" s="79">
        <f>E175*'Losses and waste'!I175*'Losses and waste'!J175*'Losses and waste'!K175*'Losses and waste'!L175</f>
        <v>49.991286946327101</v>
      </c>
      <c r="G175" s="80">
        <f>F175*'Processing conversions'!H175</f>
        <v>69.048738876142409</v>
      </c>
      <c r="H175" s="73">
        <f t="shared" ref="H175:H178" si="10">G175*365</f>
        <v>25202.789689791978</v>
      </c>
      <c r="I175" s="756">
        <f t="shared" ref="I175:I178" si="11">H175/454</f>
        <v>55.512752620687174</v>
      </c>
      <c r="J175" s="472"/>
    </row>
    <row r="176" spans="1:10" x14ac:dyDescent="0.15">
      <c r="A176" s="46" t="s">
        <v>354</v>
      </c>
      <c r="B176" s="15" t="s">
        <v>199</v>
      </c>
      <c r="C176" s="312" t="s">
        <v>356</v>
      </c>
      <c r="D176" s="288"/>
      <c r="E176" s="79"/>
      <c r="F176" s="79"/>
      <c r="G176" s="80"/>
      <c r="H176" s="73"/>
      <c r="I176" s="756"/>
      <c r="J176" s="472" t="s">
        <v>1290</v>
      </c>
    </row>
    <row r="177" spans="1:10" x14ac:dyDescent="0.15">
      <c r="A177" s="46" t="s">
        <v>354</v>
      </c>
      <c r="B177" s="15" t="s">
        <v>200</v>
      </c>
      <c r="C177" s="312" t="s">
        <v>1015</v>
      </c>
      <c r="D177" s="288">
        <f>chicken_intake</f>
        <v>0.6</v>
      </c>
      <c r="E177" s="79">
        <f>chicken_intake*'Nutrient composition'!F177</f>
        <v>17.009699999999999</v>
      </c>
      <c r="F177" s="79">
        <f>E177*'Losses and waste'!I177*'Losses and waste'!J177*'Losses and waste'!K177*'Losses and waste'!L177</f>
        <v>49.039731949036899</v>
      </c>
      <c r="G177" s="80">
        <f>F177*'Processing conversions'!H177</f>
        <v>67.875061521158329</v>
      </c>
      <c r="H177" s="73">
        <f t="shared" si="10"/>
        <v>24774.397455222792</v>
      </c>
      <c r="I177" s="756">
        <f t="shared" si="11"/>
        <v>54.569157390358569</v>
      </c>
      <c r="J177" s="472"/>
    </row>
    <row r="178" spans="1:10" x14ac:dyDescent="0.15">
      <c r="A178" s="46" t="s">
        <v>354</v>
      </c>
      <c r="B178" s="15" t="s">
        <v>201</v>
      </c>
      <c r="C178" s="312" t="s">
        <v>981</v>
      </c>
      <c r="D178" s="288">
        <f>Turkey_intake</f>
        <v>0.2</v>
      </c>
      <c r="E178" s="79">
        <f>D178*'Nutrient composition'!F178</f>
        <v>5.6699000000000002</v>
      </c>
      <c r="F178" s="79">
        <f>E178*'Losses and waste'!I178*'Losses and waste'!J178*'Losses and waste'!K178*'Losses and waste'!L178</f>
        <v>10.932932212690543</v>
      </c>
      <c r="G178" s="80">
        <f>F178*'Processing conversions'!H178</f>
        <v>13.816418820536514</v>
      </c>
      <c r="H178" s="73">
        <f t="shared" si="10"/>
        <v>5042.992869495828</v>
      </c>
      <c r="I178" s="756">
        <f t="shared" si="11"/>
        <v>11.107913809462175</v>
      </c>
      <c r="J178" s="472"/>
    </row>
    <row r="179" spans="1:10" x14ac:dyDescent="0.15">
      <c r="A179" s="46" t="s">
        <v>354</v>
      </c>
      <c r="B179" s="15" t="s">
        <v>202</v>
      </c>
      <c r="C179" s="312" t="s">
        <v>981</v>
      </c>
      <c r="D179" s="288">
        <f>fish_intake*'Food preferences'!I172</f>
        <v>0.32288460164791893</v>
      </c>
      <c r="E179" s="79">
        <f>fish_intake*'Food preferences'!I172*'Nutrient composition'!F179</f>
        <v>9.1536170144176783</v>
      </c>
      <c r="F179" s="79">
        <f>E179*'Losses and waste'!I179*'Losses and waste'!J179*'Losses and waste'!K179*'Losses and waste'!L179</f>
        <v>14.963370670670296</v>
      </c>
      <c r="G179" s="273" t="e">
        <f>F179*'Processing conversions'!H179</f>
        <v>#VALUE!</v>
      </c>
      <c r="H179" s="274" t="e">
        <f t="shared" si="6"/>
        <v>#VALUE!</v>
      </c>
      <c r="I179" s="681" t="e">
        <f t="shared" si="7"/>
        <v>#VALUE!</v>
      </c>
      <c r="J179" s="540" t="s">
        <v>1292</v>
      </c>
    </row>
    <row r="180" spans="1:10" x14ac:dyDescent="0.15">
      <c r="A180" s="46" t="s">
        <v>354</v>
      </c>
      <c r="B180" s="15" t="s">
        <v>204</v>
      </c>
      <c r="C180" s="312" t="s">
        <v>981</v>
      </c>
      <c r="D180" s="140">
        <f>fish_intake*'Food preferences'!I173</f>
        <v>7.2070271669597251E-3</v>
      </c>
      <c r="E180" s="79">
        <f>fish_intake*'Food preferences'!I173*'Nutrient composition'!F180</f>
        <v>0.20431561666972473</v>
      </c>
      <c r="F180" s="79">
        <f>E180*'Losses and waste'!I180*'Losses and waste'!J180*'Losses and waste'!K180*'Losses and waste'!L180</f>
        <v>0.24150782112260608</v>
      </c>
      <c r="G180" s="273" t="e">
        <f>F180*'Processing conversions'!H180</f>
        <v>#VALUE!</v>
      </c>
      <c r="H180" s="274" t="e">
        <f t="shared" si="6"/>
        <v>#VALUE!</v>
      </c>
      <c r="I180" s="681" t="e">
        <f t="shared" si="7"/>
        <v>#VALUE!</v>
      </c>
      <c r="J180" s="540" t="s">
        <v>1292</v>
      </c>
    </row>
    <row r="181" spans="1:10" x14ac:dyDescent="0.15">
      <c r="A181" s="46" t="s">
        <v>354</v>
      </c>
      <c r="B181" s="15" t="s">
        <v>205</v>
      </c>
      <c r="C181" s="312" t="s">
        <v>981</v>
      </c>
      <c r="D181" s="140">
        <f>fish_intake*'Food preferences'!I174</f>
        <v>7.3591966814712242E-3</v>
      </c>
      <c r="E181" s="79">
        <f>fish_intake*'Food preferences'!I174*'Nutrient composition'!F181</f>
        <v>0.20862954632136846</v>
      </c>
      <c r="F181" s="79">
        <f>E181*'Losses and waste'!I181*'Losses and waste'!J181*'Losses and waste'!K181*'Losses and waste'!L181</f>
        <v>0.24660702874866247</v>
      </c>
      <c r="G181" s="273" t="e">
        <f>F181*'Processing conversions'!H181</f>
        <v>#VALUE!</v>
      </c>
      <c r="H181" s="274" t="e">
        <f t="shared" si="6"/>
        <v>#VALUE!</v>
      </c>
      <c r="I181" s="681" t="e">
        <f t="shared" si="7"/>
        <v>#VALUE!</v>
      </c>
      <c r="J181" s="540" t="s">
        <v>1292</v>
      </c>
    </row>
    <row r="182" spans="1:10" x14ac:dyDescent="0.15">
      <c r="A182" s="46" t="s">
        <v>354</v>
      </c>
      <c r="B182" s="15" t="s">
        <v>206</v>
      </c>
      <c r="C182" s="312" t="s">
        <v>981</v>
      </c>
      <c r="D182" s="140">
        <f>fish_intake*'Food preferences'!I175</f>
        <v>0.1035482214794692</v>
      </c>
      <c r="E182" s="79">
        <f>fish_intake*'Food preferences'!I175*'Nutrient composition'!F182</f>
        <v>2.935540304832212</v>
      </c>
      <c r="F182" s="79">
        <f>E182*'Losses and waste'!I182*'Losses and waste'!J182*'Losses and waste'!K182*'Losses and waste'!L182</f>
        <v>3.4699057976740098</v>
      </c>
      <c r="G182" s="273" t="e">
        <f>F182*'Processing conversions'!H182</f>
        <v>#VALUE!</v>
      </c>
      <c r="H182" s="274" t="e">
        <f t="shared" si="6"/>
        <v>#VALUE!</v>
      </c>
      <c r="I182" s="681" t="e">
        <f t="shared" si="7"/>
        <v>#VALUE!</v>
      </c>
      <c r="J182" s="540" t="s">
        <v>1292</v>
      </c>
    </row>
    <row r="183" spans="1:10" x14ac:dyDescent="0.15">
      <c r="A183" s="46" t="s">
        <v>354</v>
      </c>
      <c r="B183" s="15" t="s">
        <v>203</v>
      </c>
      <c r="C183" s="312" t="s">
        <v>207</v>
      </c>
      <c r="D183" s="140">
        <f>fish_intake*'Food preferences'!I176</f>
        <v>1.5907339616571384E-2</v>
      </c>
      <c r="E183" s="79">
        <f>fish_intake*'Food preferences'!I176*'Nutrient composition'!F183</f>
        <v>0.45096512445999043</v>
      </c>
      <c r="F183" s="79">
        <f>E183*'Losses and waste'!I183*'Losses and waste'!J183*'Losses and waste'!K183*'Losses and waste'!L183</f>
        <v>0.74186495782924444</v>
      </c>
      <c r="G183" s="273" t="e">
        <f>F183*'Processing conversions'!H183</f>
        <v>#VALUE!</v>
      </c>
      <c r="H183" s="274" t="e">
        <f t="shared" si="6"/>
        <v>#VALUE!</v>
      </c>
      <c r="I183" s="681" t="e">
        <f t="shared" si="7"/>
        <v>#VALUE!</v>
      </c>
      <c r="J183" s="540" t="s">
        <v>1292</v>
      </c>
    </row>
    <row r="184" spans="1:10" x14ac:dyDescent="0.15">
      <c r="A184" s="46" t="s">
        <v>354</v>
      </c>
      <c r="B184" s="15" t="s">
        <v>175</v>
      </c>
      <c r="C184" s="312" t="s">
        <v>356</v>
      </c>
      <c r="D184" s="140">
        <f>fish_intake*'Food preferences'!I177</f>
        <v>1.1577986678892923E-2</v>
      </c>
      <c r="E184" s="79">
        <f>fish_intake*'Food preferences'!I177*'Nutrient composition'!F184</f>
        <v>0.32823013335327489</v>
      </c>
      <c r="F184" s="79">
        <f>E184*'Losses and waste'!I184*'Losses and waste'!J184*'Losses and waste'!K184*'Losses and waste'!L184</f>
        <v>0.43771258683925779</v>
      </c>
      <c r="G184" s="273" t="e">
        <f>F184*'Processing conversions'!H184</f>
        <v>#VALUE!</v>
      </c>
      <c r="H184" s="274" t="e">
        <f t="shared" si="6"/>
        <v>#VALUE!</v>
      </c>
      <c r="I184" s="681" t="e">
        <f t="shared" si="7"/>
        <v>#VALUE!</v>
      </c>
      <c r="J184" s="540" t="s">
        <v>1292</v>
      </c>
    </row>
    <row r="185" spans="1:10" x14ac:dyDescent="0.15">
      <c r="A185" s="46" t="s">
        <v>354</v>
      </c>
      <c r="B185" s="15" t="s">
        <v>207</v>
      </c>
      <c r="C185" s="312" t="s">
        <v>207</v>
      </c>
      <c r="D185" s="140">
        <f>fish_intake*'Food preferences'!I178</f>
        <v>1.1515626728716611E-2</v>
      </c>
      <c r="E185" s="79">
        <f>Grain_intake*'Food preferences'!I178*'Nutrient composition'!F185</f>
        <v>4.7677092546244131</v>
      </c>
      <c r="F185" s="79">
        <f>E185*'Losses and waste'!I185*'Losses and waste'!J185*'Losses and waste'!K185*'Losses and waste'!L185</f>
        <v>5.6355901354898501</v>
      </c>
      <c r="G185" s="273" t="e">
        <f>F185*'Processing conversions'!H185</f>
        <v>#VALUE!</v>
      </c>
      <c r="H185" s="274" t="e">
        <f t="shared" si="6"/>
        <v>#VALUE!</v>
      </c>
      <c r="I185" s="681" t="e">
        <f t="shared" si="7"/>
        <v>#VALUE!</v>
      </c>
      <c r="J185" s="540" t="s">
        <v>1292</v>
      </c>
    </row>
    <row r="186" spans="1:10" x14ac:dyDescent="0.15">
      <c r="A186" s="46" t="s">
        <v>354</v>
      </c>
      <c r="B186" s="15" t="s">
        <v>208</v>
      </c>
      <c r="C186" s="312" t="s">
        <v>356</v>
      </c>
      <c r="D186" s="140">
        <f>eggs_intake</f>
        <v>0.5</v>
      </c>
      <c r="E186" s="79">
        <f>eggs_intake*'Nutrient composition'!F186</f>
        <v>28.349499999999999</v>
      </c>
      <c r="F186" s="79">
        <f>E186*'Losses and waste'!I186*'Losses and waste'!J186*'Losses and waste'!K186*'Losses and waste'!L186</f>
        <v>42.283037953387321</v>
      </c>
      <c r="G186" s="80">
        <f>F186*'Processing conversions'!H186</f>
        <v>42.283037953387321</v>
      </c>
      <c r="H186" s="73">
        <f t="shared" si="6"/>
        <v>15433.308852986373</v>
      </c>
      <c r="I186" s="756">
        <f t="shared" si="7"/>
        <v>33.994072363406104</v>
      </c>
      <c r="J186" s="38"/>
    </row>
    <row r="187" spans="1:10" x14ac:dyDescent="0.15">
      <c r="A187" s="46" t="s">
        <v>354</v>
      </c>
      <c r="B187" s="15" t="s">
        <v>209</v>
      </c>
      <c r="C187" s="312" t="s">
        <v>1016</v>
      </c>
      <c r="D187" s="140">
        <f>nuts_intake*'Food preferences'!I180</f>
        <v>0.76833503499746358</v>
      </c>
      <c r="E187" s="79">
        <f>nuts_intake*'Food preferences'!I180*'Nutrient composition'!F187</f>
        <v>10.890957037330297</v>
      </c>
      <c r="F187" s="79">
        <f>E187*'Losses and waste'!I187*'Losses and waste'!J187*'Losses and waste'!K187*'Losses and waste'!L187</f>
        <v>12.873471675331322</v>
      </c>
      <c r="G187" s="80">
        <f>F187*'Processing conversions'!H187</f>
        <v>12.873471675331322</v>
      </c>
      <c r="H187" s="73">
        <f t="shared" si="6"/>
        <v>4698.8171614959329</v>
      </c>
      <c r="I187" s="756">
        <f t="shared" si="7"/>
        <v>10.349817536334655</v>
      </c>
      <c r="J187" s="38"/>
    </row>
    <row r="188" spans="1:10" x14ac:dyDescent="0.15">
      <c r="A188" s="46" t="s">
        <v>354</v>
      </c>
      <c r="B188" s="15" t="s">
        <v>210</v>
      </c>
      <c r="C188" s="312" t="s">
        <v>1016</v>
      </c>
      <c r="D188" s="140">
        <f>nuts_intake*'Food preferences'!I181</f>
        <v>0</v>
      </c>
      <c r="E188" s="79">
        <f>nuts_intake*'Food preferences'!I181*'Nutrient composition'!F188</f>
        <v>0</v>
      </c>
      <c r="F188" s="79">
        <f>E188*'Losses and waste'!I188*'Losses and waste'!J188*'Losses and waste'!K188*'Losses and waste'!L188</f>
        <v>0</v>
      </c>
      <c r="G188" s="80" t="e">
        <f>F188*'Processing conversions'!H188</f>
        <v>#VALUE!</v>
      </c>
      <c r="H188" s="73" t="e">
        <f t="shared" si="6"/>
        <v>#VALUE!</v>
      </c>
      <c r="I188" s="756" t="e">
        <f t="shared" si="7"/>
        <v>#VALUE!</v>
      </c>
      <c r="J188" s="540" t="s">
        <v>1293</v>
      </c>
    </row>
    <row r="189" spans="1:10" x14ac:dyDescent="0.15">
      <c r="A189" s="46" t="s">
        <v>354</v>
      </c>
      <c r="B189" s="15" t="s">
        <v>211</v>
      </c>
      <c r="C189" s="312" t="s">
        <v>1016</v>
      </c>
      <c r="D189" s="140">
        <f>nuts_intake*'Food preferences'!I182</f>
        <v>0.1405826836757498</v>
      </c>
      <c r="E189" s="79">
        <f>nuts_intake*'Food preferences'!I182*'Nutrient composition'!F189</f>
        <v>1.9927243954328344</v>
      </c>
      <c r="F189" s="79">
        <f>E189*'Losses and waste'!I189*'Losses and waste'!J189*'Losses and waste'!K189*'Losses and waste'!L189</f>
        <v>2.3554661884548871</v>
      </c>
      <c r="G189" s="80">
        <f>F189*'Processing conversions'!H189</f>
        <v>3.9257769807581453</v>
      </c>
      <c r="H189" s="73">
        <f t="shared" si="6"/>
        <v>1432.9085979767231</v>
      </c>
      <c r="I189" s="756">
        <f t="shared" si="7"/>
        <v>3.1561863391557776</v>
      </c>
      <c r="J189" s="38"/>
    </row>
    <row r="190" spans="1:10" x14ac:dyDescent="0.15">
      <c r="A190" s="46" t="s">
        <v>354</v>
      </c>
      <c r="B190" s="15" t="s">
        <v>212</v>
      </c>
      <c r="C190" s="312" t="s">
        <v>1016</v>
      </c>
      <c r="D190" s="140">
        <f>nuts_intake*'Food preferences'!I183</f>
        <v>6.8071130097985049E-3</v>
      </c>
      <c r="E190" s="79">
        <f>nuts_intake*'Food preferences'!I183*'Nutrient composition'!F190</f>
        <v>9.6489125135641354E-2</v>
      </c>
      <c r="F190" s="79">
        <f>E190*'Losses and waste'!I190*'Losses and waste'!J190*'Losses and waste'!K190*'Losses and waste'!L190</f>
        <v>0.11405333940383139</v>
      </c>
      <c r="G190" s="80">
        <f>F190*'Processing conversions'!H190</f>
        <v>0.2851333485095785</v>
      </c>
      <c r="H190" s="73">
        <f t="shared" si="6"/>
        <v>104.07367220599615</v>
      </c>
      <c r="I190" s="756">
        <f t="shared" si="7"/>
        <v>0.22923716344933073</v>
      </c>
      <c r="J190" s="38"/>
    </row>
    <row r="191" spans="1:10" x14ac:dyDescent="0.15">
      <c r="A191" s="46" t="s">
        <v>354</v>
      </c>
      <c r="B191" s="15" t="s">
        <v>213</v>
      </c>
      <c r="C191" s="312" t="s">
        <v>1016</v>
      </c>
      <c r="D191" s="140">
        <f>nuts_intake*'Food preferences'!I184</f>
        <v>0</v>
      </c>
      <c r="E191" s="79">
        <f>nuts_intake*'Food preferences'!I184*'Nutrient composition'!F191</f>
        <v>0</v>
      </c>
      <c r="F191" s="79">
        <f>E191*'Losses and waste'!I191*'Losses and waste'!J191*'Losses and waste'!K191*'Losses and waste'!L191</f>
        <v>0</v>
      </c>
      <c r="G191" s="80">
        <f>F191*'Processing conversions'!H191</f>
        <v>0</v>
      </c>
      <c r="H191" s="73">
        <f t="shared" si="6"/>
        <v>0</v>
      </c>
      <c r="I191" s="756">
        <f t="shared" si="7"/>
        <v>0</v>
      </c>
      <c r="J191" s="38"/>
    </row>
    <row r="192" spans="1:10" x14ac:dyDescent="0.15">
      <c r="A192" s="46" t="s">
        <v>354</v>
      </c>
      <c r="B192" s="15" t="s">
        <v>214</v>
      </c>
      <c r="C192" s="312" t="s">
        <v>1016</v>
      </c>
      <c r="D192" s="140">
        <f>nuts_intake*'Food preferences'!I185</f>
        <v>5.0426417916977759E-2</v>
      </c>
      <c r="E192" s="79">
        <f>nuts_intake*'Food preferences'!I185*'Nutrient composition'!F192</f>
        <v>0.71478186736868043</v>
      </c>
      <c r="F192" s="79">
        <f>E192*'Losses and waste'!I192*'Losses and waste'!J192*'Losses and waste'!K192*'Losses and waste'!L192</f>
        <v>0.84489582431286114</v>
      </c>
      <c r="G192" s="80">
        <f>F192*'Processing conversions'!H192</f>
        <v>2.1122395607821529</v>
      </c>
      <c r="H192" s="73">
        <f t="shared" si="6"/>
        <v>770.96743968548583</v>
      </c>
      <c r="I192" s="756">
        <f t="shared" si="7"/>
        <v>1.6981661667081185</v>
      </c>
      <c r="J192" s="38"/>
    </row>
    <row r="193" spans="1:10" x14ac:dyDescent="0.15">
      <c r="A193" s="46" t="s">
        <v>354</v>
      </c>
      <c r="B193" s="15" t="s">
        <v>215</v>
      </c>
      <c r="C193" s="312" t="s">
        <v>1016</v>
      </c>
      <c r="D193" s="140">
        <f>nuts_intake*'Food preferences'!I186</f>
        <v>1.4073694591660357E-2</v>
      </c>
      <c r="E193" s="79">
        <f>nuts_intake*'Food preferences'!I186*'Nutrient composition'!F193</f>
        <v>0.19949110241313764</v>
      </c>
      <c r="F193" s="79">
        <f>E193*'Losses and waste'!I193*'Losses and waste'!J193*'Losses and waste'!K193*'Losses and waste'!L193</f>
        <v>0.23580508559472535</v>
      </c>
      <c r="G193" s="80">
        <f>F193*'Processing conversions'!H193</f>
        <v>0.62053969893348782</v>
      </c>
      <c r="H193" s="73">
        <f t="shared" si="6"/>
        <v>226.49699011072306</v>
      </c>
      <c r="I193" s="756">
        <f t="shared" si="7"/>
        <v>0.49889204870203319</v>
      </c>
      <c r="J193" s="38"/>
    </row>
    <row r="194" spans="1:10" x14ac:dyDescent="0.15">
      <c r="A194" s="46" t="s">
        <v>354</v>
      </c>
      <c r="B194" s="15" t="s">
        <v>216</v>
      </c>
      <c r="C194" s="312" t="s">
        <v>1016</v>
      </c>
      <c r="D194" s="140">
        <f>nuts_intake*'Food preferences'!I187</f>
        <v>1.9775055808349911E-2</v>
      </c>
      <c r="E194" s="79">
        <f>nuts_intake*'Food preferences'!I187*'Nutrient composition'!F194</f>
        <v>0.28030647231940792</v>
      </c>
      <c r="F194" s="79">
        <f>E194*'Losses and waste'!I194*'Losses and waste'!J194*'Losses and waste'!K194*'Losses and waste'!L194</f>
        <v>0.331331527564312</v>
      </c>
      <c r="G194" s="80">
        <f>F194*'Processing conversions'!H194</f>
        <v>0.77053843619607443</v>
      </c>
      <c r="H194" s="73">
        <f t="shared" si="6"/>
        <v>281.24652921156718</v>
      </c>
      <c r="I194" s="756">
        <f t="shared" si="7"/>
        <v>0.61948574716204219</v>
      </c>
      <c r="J194" s="38"/>
    </row>
    <row r="195" spans="1:10" x14ac:dyDescent="0.15">
      <c r="A195" s="25" t="s">
        <v>354</v>
      </c>
      <c r="B195" s="25" t="s">
        <v>217</v>
      </c>
      <c r="C195" s="34" t="s">
        <v>1016</v>
      </c>
      <c r="D195" s="141">
        <f>nuts_intake*'Food preferences'!I188</f>
        <v>0</v>
      </c>
      <c r="E195" s="10">
        <f>nuts_intake*'Food preferences'!I188*'Nutrient composition'!F195</f>
        <v>0</v>
      </c>
      <c r="F195" s="10">
        <f>E195*'Losses and waste'!I195*'Losses and waste'!J195*'Losses and waste'!K195*'Losses and waste'!L195</f>
        <v>0</v>
      </c>
      <c r="G195" s="84" t="e">
        <f>F195*'Processing conversions'!H195</f>
        <v>#VALUE!</v>
      </c>
      <c r="H195" s="85" t="e">
        <f t="shared" si="6"/>
        <v>#VALUE!</v>
      </c>
      <c r="I195" s="757" t="e">
        <f t="shared" si="7"/>
        <v>#VALUE!</v>
      </c>
      <c r="J195" s="540" t="s">
        <v>1294</v>
      </c>
    </row>
    <row r="196" spans="1:10" s="308" customFormat="1" x14ac:dyDescent="0.15">
      <c r="A196" s="162" t="s">
        <v>699</v>
      </c>
      <c r="B196" s="153"/>
      <c r="C196" s="178"/>
      <c r="D196" s="153"/>
      <c r="E196" s="153"/>
      <c r="F196" s="153"/>
      <c r="G196" s="153"/>
      <c r="H196" s="153"/>
      <c r="I196" s="153"/>
      <c r="J196" s="39"/>
    </row>
    <row r="197" spans="1:10" x14ac:dyDescent="0.15">
      <c r="A197" s="15" t="s">
        <v>8</v>
      </c>
      <c r="B197" s="15" t="s">
        <v>218</v>
      </c>
      <c r="C197" s="312"/>
      <c r="D197" s="288">
        <f>Dairyfat_intake*'Food preferences'!I189</f>
        <v>2.6069271805015499</v>
      </c>
      <c r="E197" s="733">
        <f>Dairyfat_intake*'Food preferences'!I189*'Nutrient composition'!F197</f>
        <v>2.6069271805015499</v>
      </c>
      <c r="F197" s="79">
        <f>E197*'Losses and waste'!I197*'Losses and waste'!J197*'Losses and waste'!K197*'Losses and waste'!L197</f>
        <v>4.1068749628827854</v>
      </c>
      <c r="G197" s="80">
        <f>F197*'Processing conversions'!H197</f>
        <v>88.797296494762946</v>
      </c>
      <c r="H197" s="73">
        <f t="shared" si="6"/>
        <v>32411.013220588477</v>
      </c>
      <c r="I197" s="756">
        <f t="shared" si="7"/>
        <v>71.389896961648631</v>
      </c>
      <c r="J197" s="38"/>
    </row>
    <row r="198" spans="1:10" s="375" customFormat="1" x14ac:dyDescent="0.15">
      <c r="A198" s="311" t="s">
        <v>8</v>
      </c>
      <c r="B198" s="311" t="s">
        <v>219</v>
      </c>
      <c r="C198" s="312"/>
      <c r="D198" s="288">
        <f>Plantoil_intake*'Food preferences'!I190</f>
        <v>0.76358260198652372</v>
      </c>
      <c r="E198" s="733">
        <f>Plantoil_intake*'Food preferences'!I190*'Nutrient composition'!F198</f>
        <v>0.76358260198652372</v>
      </c>
      <c r="F198" s="733">
        <f>E198*'Losses and waste'!I198*'Losses and waste'!J198*'Losses and waste'!K198*'Losses and waste'!L198</f>
        <v>0.96594889561862574</v>
      </c>
      <c r="G198" s="927" t="s">
        <v>1286</v>
      </c>
      <c r="H198" s="927"/>
      <c r="I198" s="928"/>
      <c r="J198" s="472" t="s">
        <v>1288</v>
      </c>
    </row>
    <row r="199" spans="1:10" x14ac:dyDescent="0.15">
      <c r="A199" s="311" t="s">
        <v>8</v>
      </c>
      <c r="B199" s="311" t="s">
        <v>220</v>
      </c>
      <c r="C199" s="312"/>
      <c r="D199" s="288">
        <f>Plantoil_intake*'Food preferences'!I194</f>
        <v>0</v>
      </c>
      <c r="E199" s="733">
        <f>Plantoil_intake*'Food preferences'!I194*'Nutrient composition'!F199</f>
        <v>0</v>
      </c>
      <c r="F199" s="733">
        <f>E199*'Losses and waste'!I199*'Losses and waste'!J199*'Losses and waste'!K199*'Losses and waste'!L199</f>
        <v>0</v>
      </c>
      <c r="G199" s="80">
        <f>F199*'Processing conversions'!H199</f>
        <v>0</v>
      </c>
      <c r="H199" s="73">
        <f t="shared" si="6"/>
        <v>0</v>
      </c>
      <c r="I199" s="756">
        <f t="shared" si="7"/>
        <v>0</v>
      </c>
      <c r="J199" s="38"/>
    </row>
    <row r="200" spans="1:10" x14ac:dyDescent="0.15">
      <c r="A200" s="311" t="s">
        <v>8</v>
      </c>
      <c r="B200" s="311" t="s">
        <v>221</v>
      </c>
      <c r="C200" s="312"/>
      <c r="D200" s="288">
        <f>Plantoil_intake*'Food preferences'!I195</f>
        <v>0</v>
      </c>
      <c r="E200" s="733">
        <f>Plantoil_intake*'Food preferences'!I195*'Nutrient composition'!F200</f>
        <v>0</v>
      </c>
      <c r="F200" s="733">
        <f>E200*'Losses and waste'!I200*'Losses and waste'!J200*'Losses and waste'!K200*'Losses and waste'!L200</f>
        <v>0</v>
      </c>
      <c r="G200" s="80">
        <f>F200*'Processing conversions'!H200</f>
        <v>0</v>
      </c>
      <c r="H200" s="73">
        <f t="shared" si="6"/>
        <v>0</v>
      </c>
      <c r="I200" s="756">
        <f t="shared" si="7"/>
        <v>0</v>
      </c>
      <c r="J200" s="38"/>
    </row>
    <row r="201" spans="1:10" s="375" customFormat="1" x14ac:dyDescent="0.15">
      <c r="A201" s="311" t="s">
        <v>8</v>
      </c>
      <c r="B201" s="311" t="s">
        <v>222</v>
      </c>
      <c r="C201" s="312"/>
      <c r="D201" s="288">
        <f>Plantoil_intake*'Food preferences'!I196</f>
        <v>5.1933098176031249</v>
      </c>
      <c r="E201" s="733">
        <f>Plantoil_intake*'Food preferences'!I196*'Nutrient composition'!F201</f>
        <v>5.1933098176031249</v>
      </c>
      <c r="F201" s="733">
        <f>E201*'Losses and waste'!I201*'Losses and waste'!J201*'Losses and waste'!K201*'Losses and waste'!L201</f>
        <v>7.7338939949413641</v>
      </c>
      <c r="G201" s="927" t="s">
        <v>1286</v>
      </c>
      <c r="H201" s="927"/>
      <c r="I201" s="928"/>
      <c r="J201" s="472" t="s">
        <v>1288</v>
      </c>
    </row>
    <row r="202" spans="1:10" s="375" customFormat="1" x14ac:dyDescent="0.15">
      <c r="A202" s="311" t="s">
        <v>8</v>
      </c>
      <c r="B202" s="311" t="s">
        <v>223</v>
      </c>
      <c r="C202" s="278"/>
      <c r="D202" s="288">
        <f>Plantoil_intake*'Food preferences'!I202</f>
        <v>11.41257976192567</v>
      </c>
      <c r="E202" s="733">
        <f>Plantoil_intake*'Food preferences'!I202*'Nutrient composition'!F202</f>
        <v>11.41257976192567</v>
      </c>
      <c r="F202" s="733">
        <f>E202*'Losses and waste'!I202*'Losses and waste'!J202*'Losses and waste'!K202*'Losses and waste'!L202</f>
        <v>18.057879370135556</v>
      </c>
      <c r="G202" s="927" t="s">
        <v>1286</v>
      </c>
      <c r="H202" s="927"/>
      <c r="I202" s="928"/>
      <c r="J202" s="472" t="s">
        <v>1288</v>
      </c>
    </row>
    <row r="203" spans="1:10" s="375" customFormat="1" x14ac:dyDescent="0.15">
      <c r="A203" s="311" t="s">
        <v>8</v>
      </c>
      <c r="B203" s="311" t="s">
        <v>224</v>
      </c>
      <c r="C203" s="278"/>
      <c r="D203" s="288">
        <f>Plantoil_intake*'Food preferences'!I208</f>
        <v>0.63052781848468342</v>
      </c>
      <c r="E203" s="733">
        <f>Plantoil_intake*'Food preferences'!I208*'Nutrient composition'!F203</f>
        <v>0.63052781848468342</v>
      </c>
      <c r="F203" s="733">
        <f>E203*'Losses and waste'!I203*'Losses and waste'!J203*'Losses and waste'!K203*'Losses and waste'!L203</f>
        <v>0.66371349314177197</v>
      </c>
      <c r="G203" s="927" t="s">
        <v>1286</v>
      </c>
      <c r="H203" s="927"/>
      <c r="I203" s="928"/>
      <c r="J203" s="472" t="s">
        <v>1288</v>
      </c>
    </row>
    <row r="204" spans="1:10" x14ac:dyDescent="0.15">
      <c r="A204" s="15" t="s">
        <v>8</v>
      </c>
      <c r="B204" s="15" t="s">
        <v>225</v>
      </c>
      <c r="C204" s="312"/>
      <c r="D204" s="288">
        <f>Dairyfat_intake*'Food preferences'!I214</f>
        <v>0.96140971538338849</v>
      </c>
      <c r="E204" s="733">
        <f>Dairyfat_intake*'Food preferences'!I214*'Nutrient composition'!F204</f>
        <v>0.96140971538338849</v>
      </c>
      <c r="F204" s="79">
        <f>E204*'Losses and waste'!I204*'Losses and waste'!J204*'Losses and waste'!K204*'Losses and waste'!L204</f>
        <v>7.2486135894930719</v>
      </c>
      <c r="G204" s="80">
        <f>F204*'Processing conversions'!H204</f>
        <v>36.909156763797156</v>
      </c>
      <c r="H204" s="73">
        <f t="shared" si="6"/>
        <v>13471.842218785961</v>
      </c>
      <c r="I204" s="756">
        <f t="shared" si="7"/>
        <v>29.673661274858947</v>
      </c>
      <c r="J204" s="38"/>
    </row>
    <row r="205" spans="1:10" x14ac:dyDescent="0.15">
      <c r="A205" s="15" t="s">
        <v>8</v>
      </c>
      <c r="B205" s="15" t="s">
        <v>186</v>
      </c>
      <c r="C205" s="312"/>
      <c r="D205" s="288">
        <f>Dairyfat_intake*'Food preferences'!I215</f>
        <v>0.2038538754862248</v>
      </c>
      <c r="E205" s="733">
        <f>Dairyfat_intake*'Food preferences'!I215*'Nutrient composition'!F205</f>
        <v>0.2038538754862248</v>
      </c>
      <c r="F205" s="79">
        <f>E205*'Losses and waste'!I205*'Losses and waste'!J205*'Losses and waste'!K205*'Losses and waste'!L205</f>
        <v>2.6541261598802302</v>
      </c>
      <c r="G205" s="80">
        <f>F205*'Processing conversions'!H205</f>
        <v>7.8260855146738688</v>
      </c>
      <c r="H205" s="73">
        <f t="shared" si="6"/>
        <v>2856.5212128559619</v>
      </c>
      <c r="I205" s="756">
        <f t="shared" si="7"/>
        <v>6.2918969446166564</v>
      </c>
      <c r="J205" s="38"/>
    </row>
    <row r="206" spans="1:10" x14ac:dyDescent="0.15">
      <c r="A206" s="15" t="s">
        <v>8</v>
      </c>
      <c r="B206" s="15" t="s">
        <v>226</v>
      </c>
      <c r="C206" s="312"/>
      <c r="D206" s="288">
        <f>Dairyfat_intake*'Food preferences'!I216</f>
        <v>0.27384847523173778</v>
      </c>
      <c r="E206" s="733">
        <f>Dairyfat_intake*'Food preferences'!I216*'Nutrient composition'!F206</f>
        <v>0.27384847523173778</v>
      </c>
      <c r="F206" s="79">
        <f>E206*'Losses and waste'!I206*'Losses and waste'!J206*'Losses and waste'!K206*'Losses and waste'!L206</f>
        <v>1.084744315138646</v>
      </c>
      <c r="G206" s="80">
        <f>F206*'Processing conversions'!H206</f>
        <v>10.513224632668067</v>
      </c>
      <c r="H206" s="73">
        <f t="shared" si="6"/>
        <v>3837.3269909238443</v>
      </c>
      <c r="I206" s="756">
        <f t="shared" si="7"/>
        <v>8.4522620945459117</v>
      </c>
      <c r="J206" s="38"/>
    </row>
    <row r="207" spans="1:10" x14ac:dyDescent="0.15">
      <c r="A207" s="15" t="s">
        <v>8</v>
      </c>
      <c r="B207" s="15" t="s">
        <v>227</v>
      </c>
      <c r="C207" s="312"/>
      <c r="D207" s="288">
        <f>Dairyfat_intake*'Food preferences'!I217</f>
        <v>0.4799758153102176</v>
      </c>
      <c r="E207" s="733">
        <f>Dairyfat_intake*'Food preferences'!I217*'Nutrient composition'!F207</f>
        <v>0.4799758153102176</v>
      </c>
      <c r="F207" s="79">
        <f>E207*'Losses and waste'!I207*'Losses and waste'!J207*'Losses and waste'!K207*'Losses and waste'!L207</f>
        <v>3.9386702978951469</v>
      </c>
      <c r="G207" s="80">
        <f>F207*'Processing conversions'!H207</f>
        <v>18.426589961233784</v>
      </c>
      <c r="H207" s="73">
        <f t="shared" si="6"/>
        <v>6725.7053358503308</v>
      </c>
      <c r="I207" s="756">
        <f t="shared" si="7"/>
        <v>14.814328933591037</v>
      </c>
      <c r="J207" s="38"/>
    </row>
    <row r="208" spans="1:10" x14ac:dyDescent="0.15">
      <c r="A208" s="15" t="s">
        <v>8</v>
      </c>
      <c r="B208" s="15" t="s">
        <v>228</v>
      </c>
      <c r="C208" s="312"/>
      <c r="D208" s="288">
        <f>Dairyfat_intake*'Food preferences'!I218</f>
        <v>0.46130811446214814</v>
      </c>
      <c r="E208" s="733">
        <f>Dairyfat_intake*'Food preferences'!I218*'Nutrient composition'!F208</f>
        <v>0.46130811446214814</v>
      </c>
      <c r="F208" s="79">
        <f>E208*'Losses and waste'!I208*'Losses and waste'!J208*'Losses and waste'!K208*'Losses and waste'!L208</f>
        <v>1.985658206190376</v>
      </c>
      <c r="G208" s="80">
        <f>F208*'Processing conversions'!H208</f>
        <v>17.709924541697948</v>
      </c>
      <c r="H208" s="73">
        <f t="shared" si="6"/>
        <v>6464.1224577197509</v>
      </c>
      <c r="I208" s="756">
        <f t="shared" si="7"/>
        <v>14.238155193215309</v>
      </c>
      <c r="J208" s="38"/>
    </row>
    <row r="209" spans="1:10" x14ac:dyDescent="0.15">
      <c r="A209" s="25" t="s">
        <v>8</v>
      </c>
      <c r="B209" s="25" t="s">
        <v>187</v>
      </c>
      <c r="C209" s="34"/>
      <c r="D209" s="734">
        <f>Dairyfat_intake*'Food preferences'!I219</f>
        <v>1.2676823624733331E-2</v>
      </c>
      <c r="E209" s="735">
        <f>Dairyfat_intake*'Food preferences'!I219*'Nutrient composition'!F209</f>
        <v>1.2676823624733331E-2</v>
      </c>
      <c r="F209" s="10">
        <f>E209*'Losses and waste'!I209*'Losses and waste'!J209*'Losses and waste'!K209*'Losses and waste'!L209</f>
        <v>0.23662091642152469</v>
      </c>
      <c r="G209" s="84">
        <f>F209*'Processing conversions'!H209</f>
        <v>0.48667166863994676</v>
      </c>
      <c r="H209" s="85">
        <f t="shared" si="6"/>
        <v>177.63515905358057</v>
      </c>
      <c r="I209" s="757">
        <f t="shared" si="7"/>
        <v>0.39126687016207173</v>
      </c>
      <c r="J209" s="39"/>
    </row>
    <row r="210" spans="1:10" s="308" customFormat="1" x14ac:dyDescent="0.15">
      <c r="A210" s="162" t="s">
        <v>700</v>
      </c>
      <c r="B210" s="153"/>
      <c r="C210" s="178"/>
      <c r="D210" s="153"/>
      <c r="E210" s="153"/>
      <c r="F210" s="153"/>
      <c r="G210" s="153"/>
      <c r="H210" s="153"/>
      <c r="I210" s="153"/>
      <c r="J210" s="39"/>
    </row>
    <row r="211" spans="1:10" x14ac:dyDescent="0.15">
      <c r="A211" s="15" t="s">
        <v>9</v>
      </c>
      <c r="B211" s="15" t="s">
        <v>229</v>
      </c>
      <c r="C211" s="312" t="s">
        <v>63</v>
      </c>
      <c r="D211" s="140">
        <f>sweeteners_intake*'Food preferences'!I220</f>
        <v>3.0334716823069843</v>
      </c>
      <c r="E211" s="79">
        <f>sweeteners_intake*'Food preferences'!I220*'Nutrient composition'!F211</f>
        <v>12.740581065689334</v>
      </c>
      <c r="F211" s="79">
        <f>E211*'Losses and waste'!I211*'Losses and waste'!J211*'Losses and waste'!K211*'Losses and waste'!L211</f>
        <v>17.89407453046255</v>
      </c>
      <c r="G211" s="273">
        <f>F211*'Processing conversions'!H211</f>
        <v>127.63248595194402</v>
      </c>
      <c r="H211" s="274">
        <f t="shared" si="6"/>
        <v>46585.85737245957</v>
      </c>
      <c r="I211" s="681">
        <f t="shared" si="7"/>
        <v>102.61202064418407</v>
      </c>
      <c r="J211" s="38"/>
    </row>
    <row r="212" spans="1:10" x14ac:dyDescent="0.15">
      <c r="A212" s="15" t="s">
        <v>9</v>
      </c>
      <c r="B212" s="15" t="s">
        <v>230</v>
      </c>
      <c r="C212" s="312" t="s">
        <v>63</v>
      </c>
      <c r="D212" s="140">
        <f>sweeteners_intake*'Food preferences'!I221</f>
        <v>2.6740870505637293</v>
      </c>
      <c r="E212" s="79">
        <f>sweeteners_intake*'Food preferences'!I221*'Nutrient composition'!F212</f>
        <v>16.935884653570284</v>
      </c>
      <c r="F212" s="79">
        <f>E212*'Losses and waste'!I212*'Losses and waste'!J212*'Losses and waste'!K212*'Losses and waste'!L212</f>
        <v>23.786354850520063</v>
      </c>
      <c r="G212" s="80">
        <f>F212*'Processing conversions'!H212</f>
        <v>33.980506929314373</v>
      </c>
      <c r="H212" s="73">
        <f t="shared" si="6"/>
        <v>12402.885029199746</v>
      </c>
      <c r="I212" s="756">
        <f t="shared" si="7"/>
        <v>27.319130020263756</v>
      </c>
      <c r="J212" s="38"/>
    </row>
    <row r="213" spans="1:10" x14ac:dyDescent="0.15">
      <c r="A213" s="15" t="s">
        <v>9</v>
      </c>
      <c r="B213" s="15" t="s">
        <v>231</v>
      </c>
      <c r="C213" s="312" t="s">
        <v>63</v>
      </c>
      <c r="D213" s="140">
        <f>sweeteners_intake*'Food preferences'!I222</f>
        <v>0.65156235713894339</v>
      </c>
      <c r="E213" s="79">
        <f>sweeteners_intake*'Food preferences'!I222*'Nutrient composition'!F213</f>
        <v>2.7365618999835624</v>
      </c>
      <c r="F213" s="79">
        <f>E213*'Losses and waste'!I213*'Losses and waste'!J213*'Losses and waste'!K213*'Losses and waste'!L213</f>
        <v>3.8434858145836555</v>
      </c>
      <c r="G213" s="273">
        <f>F213*'Processing conversions'!H213</f>
        <v>7.8278733494575468</v>
      </c>
      <c r="H213" s="274">
        <f>G213*365</f>
        <v>2857.1737725520047</v>
      </c>
      <c r="I213" s="681">
        <f>H213/454</f>
        <v>6.2933343007753404</v>
      </c>
      <c r="J213" s="38"/>
    </row>
    <row r="214" spans="1:10" x14ac:dyDescent="0.15">
      <c r="A214" s="15" t="s">
        <v>9</v>
      </c>
      <c r="B214" s="15" t="s">
        <v>232</v>
      </c>
      <c r="C214" s="312" t="s">
        <v>63</v>
      </c>
      <c r="D214" s="140">
        <f>sweeteners_intake*'Food preferences'!I223</f>
        <v>0.14087890999034272</v>
      </c>
      <c r="E214" s="79">
        <f>sweeteners_intake*'Food preferences'!I223*'Nutrient composition'!F214</f>
        <v>0.59169142195943947</v>
      </c>
      <c r="F214" s="79">
        <f>E214*'Losses and waste'!I214*'Losses and waste'!J214*'Losses and waste'!K214*'Losses and waste'!L214</f>
        <v>0.83102727803292065</v>
      </c>
      <c r="G214" s="80">
        <f>F214*'Processing conversions'!H214</f>
        <v>1.6925199145273333</v>
      </c>
      <c r="H214" s="73">
        <f>G214*365</f>
        <v>617.76976880247662</v>
      </c>
      <c r="I214" s="756">
        <f>H214/454</f>
        <v>1.3607263630010498</v>
      </c>
      <c r="J214" s="38"/>
    </row>
    <row r="215" spans="1:10" x14ac:dyDescent="0.15">
      <c r="A215" s="15" t="s">
        <v>9</v>
      </c>
      <c r="B215" s="15" t="s">
        <v>233</v>
      </c>
      <c r="C215" s="312" t="s">
        <v>63</v>
      </c>
      <c r="D215" s="140">
        <f>sweeteners_intake*'Food preferences'!I224</f>
        <v>0</v>
      </c>
      <c r="E215" s="79">
        <f>sweeteners_intake*'Food preferences'!I224*'Nutrient composition'!F215</f>
        <v>0</v>
      </c>
      <c r="F215" s="79">
        <f>E215*'Losses and waste'!I215*'Losses and waste'!J215*'Losses and waste'!K215*'Losses and waste'!L215</f>
        <v>0</v>
      </c>
      <c r="G215" s="80" t="e">
        <f>F215*'Processing conversions'!H215</f>
        <v>#VALUE!</v>
      </c>
      <c r="H215" s="73" t="e">
        <f>G215*365</f>
        <v>#VALUE!</v>
      </c>
      <c r="I215" s="756" t="e">
        <f>H215/454</f>
        <v>#VALUE!</v>
      </c>
      <c r="J215" s="38"/>
    </row>
    <row r="216" spans="1:10" x14ac:dyDescent="0.15">
      <c r="A216" s="25" t="s">
        <v>9</v>
      </c>
      <c r="B216" s="25" t="s">
        <v>234</v>
      </c>
      <c r="C216" s="99" t="s">
        <v>63</v>
      </c>
      <c r="D216" s="141">
        <f>sweeteners_intake*'Food preferences'!I225</f>
        <v>0</v>
      </c>
      <c r="E216" s="10">
        <f>sweeteners_intake*'Food preferences'!I225*'Nutrient composition'!F216</f>
        <v>0</v>
      </c>
      <c r="F216" s="10">
        <f>E216*'Losses and waste'!I216*'Losses and waste'!J216*'Losses and waste'!K216*'Losses and waste'!L216</f>
        <v>0</v>
      </c>
      <c r="G216" s="84">
        <f>F216*'Processing conversions'!H216</f>
        <v>0</v>
      </c>
      <c r="H216" s="85">
        <f>G216*365</f>
        <v>0</v>
      </c>
      <c r="I216" s="757">
        <f>H216/454</f>
        <v>0</v>
      </c>
      <c r="J216" s="39"/>
    </row>
    <row r="217" spans="1:10" x14ac:dyDescent="0.15">
      <c r="A217" s="162" t="s">
        <v>701</v>
      </c>
      <c r="B217" s="153"/>
      <c r="C217" s="178"/>
      <c r="D217" s="153"/>
      <c r="E217" s="153"/>
      <c r="F217" s="153"/>
      <c r="G217" s="153"/>
      <c r="H217" s="153"/>
      <c r="I217" s="153"/>
      <c r="J217" s="39"/>
    </row>
    <row r="219" spans="1:10" x14ac:dyDescent="0.15">
      <c r="A219" s="15" t="s">
        <v>1019</v>
      </c>
    </row>
  </sheetData>
  <mergeCells count="5">
    <mergeCell ref="A2:I4"/>
    <mergeCell ref="G198:I198"/>
    <mergeCell ref="G201:I201"/>
    <mergeCell ref="G202:I202"/>
    <mergeCell ref="G203:I203"/>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M194"/>
  <sheetViews>
    <sheetView topLeftCell="G161" workbookViewId="0">
      <selection activeCell="D173" sqref="D173"/>
    </sheetView>
  </sheetViews>
  <sheetFormatPr baseColWidth="10" defaultColWidth="8.83203125" defaultRowHeight="13" x14ac:dyDescent="0.15"/>
  <cols>
    <col min="1" max="1" width="29.5" style="49" customWidth="1"/>
    <col min="2" max="2" width="12.6640625" style="49" customWidth="1"/>
    <col min="3" max="3" width="12" style="49" customWidth="1"/>
    <col min="4" max="4" width="14.6640625" style="49" customWidth="1"/>
    <col min="5" max="5" width="19.1640625" style="49" customWidth="1"/>
    <col min="6" max="6" width="19.5" style="197" customWidth="1"/>
    <col min="7" max="18" width="12.33203125" style="197" customWidth="1"/>
    <col min="19" max="19" width="9.1640625" style="49" customWidth="1"/>
    <col min="20" max="20" width="20" style="199" customWidth="1"/>
    <col min="21" max="21" width="9.1640625" style="49" customWidth="1"/>
    <col min="22" max="22" width="12.5" style="206" customWidth="1"/>
    <col min="23" max="23" width="16.1640625" style="49" customWidth="1"/>
    <col min="24" max="24" width="13.5" style="207" bestFit="1" customWidth="1"/>
    <col min="25" max="25" width="26" style="49" customWidth="1"/>
    <col min="26" max="26" width="8.83203125" style="49"/>
    <col min="27" max="27" width="18.1640625" style="49" customWidth="1"/>
    <col min="28" max="16384" width="8.83203125" style="49"/>
  </cols>
  <sheetData>
    <row r="1" spans="1:39" s="191" customFormat="1" ht="17" thickBot="1" x14ac:dyDescent="0.25">
      <c r="A1" s="804" t="s">
        <v>20</v>
      </c>
      <c r="B1" s="151"/>
      <c r="C1" s="151"/>
      <c r="D1" s="151"/>
      <c r="E1" s="266"/>
      <c r="F1" s="266"/>
      <c r="G1" s="266"/>
      <c r="H1" s="805"/>
      <c r="I1" s="805"/>
      <c r="J1" s="805"/>
      <c r="K1" s="805"/>
      <c r="L1" s="805"/>
      <c r="M1" s="805"/>
      <c r="N1" s="805"/>
      <c r="O1" s="193"/>
      <c r="P1" s="193"/>
      <c r="Q1" s="193"/>
      <c r="R1" s="193"/>
      <c r="S1" s="194"/>
      <c r="T1" s="204"/>
      <c r="U1" s="194"/>
      <c r="V1" s="205"/>
      <c r="W1" s="194"/>
      <c r="X1" s="194"/>
      <c r="Y1" s="194"/>
      <c r="Z1" s="194"/>
      <c r="AA1" s="194"/>
      <c r="AB1" s="194"/>
      <c r="AC1" s="194"/>
      <c r="AD1" s="194"/>
      <c r="AE1" s="194"/>
      <c r="AF1" s="194"/>
      <c r="AG1" s="194"/>
      <c r="AH1" s="194"/>
      <c r="AI1" s="194"/>
      <c r="AJ1" s="194"/>
      <c r="AK1" s="194"/>
      <c r="AL1" s="194"/>
      <c r="AM1" s="195"/>
    </row>
    <row r="2" spans="1:39" s="196" customFormat="1" ht="16" x14ac:dyDescent="0.2">
      <c r="A2" s="929" t="s">
        <v>1331</v>
      </c>
      <c r="B2" s="930"/>
      <c r="C2" s="930"/>
      <c r="D2" s="930"/>
      <c r="E2" s="930"/>
      <c r="F2" s="930"/>
      <c r="G2" s="930"/>
      <c r="H2" s="930"/>
      <c r="I2" s="930"/>
      <c r="J2" s="930"/>
      <c r="K2" s="930"/>
      <c r="L2" s="930"/>
      <c r="M2" s="930"/>
      <c r="N2" s="931"/>
      <c r="O2" s="802"/>
      <c r="P2" s="802"/>
      <c r="Q2" s="802"/>
      <c r="R2" s="802"/>
      <c r="S2" s="194"/>
      <c r="T2" s="204"/>
      <c r="U2" s="194"/>
      <c r="V2" s="205"/>
      <c r="W2" s="194"/>
      <c r="X2" s="194"/>
      <c r="Y2" s="194"/>
      <c r="Z2" s="194"/>
      <c r="AA2" s="194"/>
      <c r="AB2" s="194"/>
      <c r="AC2" s="194"/>
      <c r="AD2" s="194"/>
      <c r="AE2" s="194"/>
      <c r="AF2" s="194"/>
      <c r="AG2" s="194"/>
      <c r="AH2" s="194"/>
      <c r="AI2" s="194"/>
      <c r="AJ2" s="194"/>
      <c r="AK2" s="194"/>
      <c r="AL2" s="194"/>
      <c r="AM2" s="195"/>
    </row>
    <row r="3" spans="1:39" s="191" customFormat="1" ht="17" thickBot="1" x14ac:dyDescent="0.25">
      <c r="A3" s="932"/>
      <c r="B3" s="933"/>
      <c r="C3" s="933"/>
      <c r="D3" s="933"/>
      <c r="E3" s="933"/>
      <c r="F3" s="933"/>
      <c r="G3" s="933"/>
      <c r="H3" s="933"/>
      <c r="I3" s="933"/>
      <c r="J3" s="933"/>
      <c r="K3" s="933"/>
      <c r="L3" s="933"/>
      <c r="M3" s="933"/>
      <c r="N3" s="934"/>
      <c r="O3" s="194"/>
      <c r="P3" s="194"/>
      <c r="Q3" s="194"/>
      <c r="R3" s="194"/>
      <c r="S3" s="194"/>
      <c r="T3" s="204"/>
      <c r="U3" s="194"/>
      <c r="V3" s="205"/>
      <c r="W3" s="194"/>
      <c r="X3" s="194"/>
      <c r="Y3" s="194"/>
      <c r="Z3" s="194"/>
      <c r="AA3" s="194"/>
      <c r="AB3" s="194"/>
      <c r="AC3" s="194"/>
      <c r="AD3" s="194"/>
      <c r="AE3" s="194"/>
      <c r="AF3" s="194"/>
      <c r="AG3" s="194"/>
      <c r="AH3" s="194"/>
      <c r="AI3" s="194"/>
      <c r="AJ3" s="194"/>
      <c r="AK3" s="194"/>
      <c r="AL3" s="194"/>
      <c r="AM3" s="195"/>
    </row>
    <row r="4" spans="1:39" s="191" customFormat="1" ht="16" x14ac:dyDescent="0.2">
      <c r="A4" s="151"/>
      <c r="B4" s="151"/>
      <c r="C4" s="151"/>
      <c r="D4" s="151"/>
      <c r="E4" s="266"/>
      <c r="F4" s="806"/>
      <c r="G4" s="266"/>
      <c r="H4" s="266"/>
      <c r="I4" s="266"/>
      <c r="J4" s="266"/>
      <c r="K4" s="266"/>
      <c r="L4" s="266"/>
      <c r="M4" s="266"/>
      <c r="N4" s="266"/>
      <c r="O4" s="192"/>
      <c r="P4" s="192"/>
      <c r="Q4" s="192"/>
      <c r="R4" s="192"/>
      <c r="S4" s="194"/>
      <c r="T4" s="204"/>
      <c r="U4" s="194"/>
      <c r="V4" s="205"/>
      <c r="W4" s="194"/>
      <c r="X4" s="194"/>
      <c r="Y4" s="194"/>
      <c r="Z4" s="194"/>
      <c r="AA4" s="194"/>
      <c r="AB4" s="194"/>
      <c r="AC4" s="194"/>
      <c r="AD4" s="194"/>
      <c r="AE4" s="194"/>
      <c r="AF4" s="194"/>
      <c r="AG4" s="194"/>
      <c r="AH4" s="194"/>
      <c r="AI4" s="194"/>
      <c r="AJ4" s="194"/>
      <c r="AK4" s="194"/>
      <c r="AL4" s="194"/>
      <c r="AM4" s="195"/>
    </row>
    <row r="5" spans="1:39" x14ac:dyDescent="0.15">
      <c r="A5" s="804" t="s">
        <v>406</v>
      </c>
      <c r="B5" s="18"/>
      <c r="C5" s="18"/>
      <c r="D5" s="18"/>
      <c r="E5" s="315"/>
      <c r="F5" s="755"/>
      <c r="G5" s="207"/>
      <c r="H5" s="207"/>
      <c r="I5" s="207"/>
      <c r="J5" s="207"/>
      <c r="K5" s="207"/>
      <c r="L5" s="207"/>
      <c r="M5" s="207"/>
      <c r="N5" s="207"/>
    </row>
    <row r="6" spans="1:39" x14ac:dyDescent="0.15">
      <c r="A6" s="807" t="s">
        <v>407</v>
      </c>
      <c r="B6" s="396"/>
      <c r="C6" s="396"/>
      <c r="D6" s="396"/>
      <c r="E6" s="309"/>
      <c r="F6" s="755"/>
      <c r="G6" s="207"/>
      <c r="H6" s="207"/>
      <c r="I6" s="207"/>
      <c r="J6" s="207"/>
      <c r="K6" s="207"/>
      <c r="L6" s="207"/>
      <c r="M6" s="207"/>
      <c r="N6" s="207"/>
    </row>
    <row r="7" spans="1:39" x14ac:dyDescent="0.15">
      <c r="A7" s="808" t="s">
        <v>466</v>
      </c>
      <c r="B7" s="803"/>
      <c r="C7" s="803"/>
      <c r="D7" s="315"/>
      <c r="E7" s="315"/>
      <c r="F7" s="755"/>
      <c r="G7" s="207"/>
      <c r="H7" s="207"/>
      <c r="I7" s="207"/>
      <c r="J7" s="207"/>
      <c r="K7" s="207"/>
      <c r="L7" s="207"/>
      <c r="M7" s="207"/>
      <c r="N7" s="207"/>
    </row>
    <row r="8" spans="1:39" x14ac:dyDescent="0.15">
      <c r="A8" s="809" t="s">
        <v>408</v>
      </c>
      <c r="B8" s="315"/>
      <c r="C8" s="315"/>
      <c r="D8" s="315"/>
      <c r="E8" s="315"/>
      <c r="F8" s="755"/>
      <c r="G8" s="207"/>
      <c r="H8" s="207"/>
      <c r="I8" s="207"/>
      <c r="J8" s="207"/>
      <c r="K8" s="207"/>
      <c r="L8" s="207"/>
      <c r="M8" s="207"/>
      <c r="N8" s="207"/>
    </row>
    <row r="9" spans="1:39" x14ac:dyDescent="0.15">
      <c r="A9" s="209" t="s">
        <v>515</v>
      </c>
      <c r="B9" s="315"/>
      <c r="C9" s="315"/>
      <c r="D9" s="315"/>
      <c r="E9" s="315"/>
      <c r="F9" s="755"/>
      <c r="G9" s="207"/>
      <c r="H9" s="207"/>
      <c r="I9" s="207"/>
      <c r="J9" s="207"/>
      <c r="K9" s="207"/>
      <c r="L9" s="207"/>
      <c r="M9" s="207"/>
      <c r="N9" s="207"/>
    </row>
    <row r="11" spans="1:39" s="195" customFormat="1" x14ac:dyDescent="0.15">
      <c r="F11" s="202"/>
      <c r="G11" s="202"/>
      <c r="H11" s="202"/>
      <c r="I11" s="202"/>
      <c r="J11" s="202"/>
      <c r="K11" s="202"/>
      <c r="L11" s="202"/>
      <c r="M11" s="202"/>
      <c r="N11" s="202"/>
      <c r="O11" s="202"/>
      <c r="P11" s="202"/>
      <c r="Q11" s="202"/>
      <c r="R11" s="202"/>
      <c r="T11" s="317"/>
      <c r="V11" s="214"/>
      <c r="X11" s="216"/>
    </row>
    <row r="12" spans="1:39" x14ac:dyDescent="0.15">
      <c r="A12" s="63"/>
      <c r="B12" s="776"/>
      <c r="C12" s="776"/>
      <c r="D12" s="776"/>
      <c r="E12" s="777"/>
      <c r="F12" s="778"/>
      <c r="G12" s="779" t="s">
        <v>409</v>
      </c>
      <c r="H12" s="779" t="s">
        <v>409</v>
      </c>
      <c r="I12" s="779" t="s">
        <v>409</v>
      </c>
      <c r="J12" s="779" t="s">
        <v>409</v>
      </c>
      <c r="K12" s="779" t="s">
        <v>409</v>
      </c>
      <c r="L12" s="779" t="s">
        <v>409</v>
      </c>
      <c r="M12" s="779" t="s">
        <v>409</v>
      </c>
      <c r="N12" s="779" t="s">
        <v>409</v>
      </c>
      <c r="O12" s="779" t="s">
        <v>409</v>
      </c>
      <c r="P12" s="779" t="s">
        <v>409</v>
      </c>
      <c r="Q12" s="779" t="s">
        <v>409</v>
      </c>
      <c r="R12" s="779" t="s">
        <v>409</v>
      </c>
      <c r="S12" s="63"/>
      <c r="T12" s="780" t="s">
        <v>409</v>
      </c>
      <c r="U12" s="63"/>
      <c r="V12" s="781" t="s">
        <v>409</v>
      </c>
      <c r="W12" s="63"/>
      <c r="X12" s="765" t="s">
        <v>509</v>
      </c>
      <c r="Y12" s="798"/>
      <c r="Z12" s="195"/>
      <c r="AA12" s="195"/>
      <c r="AB12" s="195"/>
      <c r="AC12" s="195"/>
    </row>
    <row r="13" spans="1:39" ht="35.25" customHeight="1" x14ac:dyDescent="0.15">
      <c r="A13" s="782" t="s">
        <v>413</v>
      </c>
      <c r="B13" s="782" t="s">
        <v>410</v>
      </c>
      <c r="C13" s="782" t="s">
        <v>411</v>
      </c>
      <c r="D13" s="782" t="s">
        <v>412</v>
      </c>
      <c r="E13" s="783" t="s">
        <v>414</v>
      </c>
      <c r="F13" s="784" t="s">
        <v>415</v>
      </c>
      <c r="G13" s="267" t="s">
        <v>416</v>
      </c>
      <c r="H13" s="267" t="s">
        <v>417</v>
      </c>
      <c r="I13" s="785" t="s">
        <v>505</v>
      </c>
      <c r="J13" s="267" t="s">
        <v>418</v>
      </c>
      <c r="K13" s="267" t="s">
        <v>419</v>
      </c>
      <c r="L13" s="267" t="s">
        <v>420</v>
      </c>
      <c r="M13" s="267" t="s">
        <v>421</v>
      </c>
      <c r="N13" s="785" t="s">
        <v>506</v>
      </c>
      <c r="O13" s="267" t="s">
        <v>422</v>
      </c>
      <c r="P13" s="267" t="s">
        <v>423</v>
      </c>
      <c r="Q13" s="267" t="s">
        <v>424</v>
      </c>
      <c r="R13" s="267" t="s">
        <v>425</v>
      </c>
      <c r="S13" s="25"/>
      <c r="T13" s="786" t="s">
        <v>508</v>
      </c>
      <c r="U13" s="761"/>
      <c r="V13" s="762" t="s">
        <v>507</v>
      </c>
      <c r="W13" s="761" t="s">
        <v>514</v>
      </c>
      <c r="X13" s="763" t="s">
        <v>513</v>
      </c>
      <c r="Y13" s="799" t="s">
        <v>512</v>
      </c>
      <c r="Z13" s="195"/>
      <c r="AA13" s="195"/>
      <c r="AB13" s="195"/>
      <c r="AC13" s="195"/>
    </row>
    <row r="14" spans="1:39" ht="15" x14ac:dyDescent="0.15">
      <c r="A14" s="117" t="s">
        <v>1328</v>
      </c>
      <c r="B14" s="315"/>
      <c r="C14" s="315"/>
      <c r="D14" s="315"/>
      <c r="E14" s="315"/>
      <c r="F14" s="764"/>
      <c r="Y14" s="146"/>
      <c r="Z14" s="195"/>
      <c r="AA14" s="801"/>
      <c r="AB14" s="801"/>
      <c r="AC14" s="801"/>
      <c r="AD14" s="210"/>
    </row>
    <row r="15" spans="1:39" x14ac:dyDescent="0.15">
      <c r="A15" s="18" t="s">
        <v>428</v>
      </c>
      <c r="B15" s="18" t="s">
        <v>426</v>
      </c>
      <c r="C15" s="18" t="s">
        <v>426</v>
      </c>
      <c r="D15" s="18" t="s">
        <v>427</v>
      </c>
      <c r="E15" s="790">
        <v>30199999</v>
      </c>
      <c r="F15" s="764" t="s">
        <v>1033</v>
      </c>
      <c r="G15" s="197">
        <v>115</v>
      </c>
      <c r="H15" s="197">
        <v>125</v>
      </c>
      <c r="I15" s="197">
        <v>115</v>
      </c>
      <c r="J15" s="197">
        <v>140</v>
      </c>
      <c r="K15" s="197">
        <v>110</v>
      </c>
      <c r="L15" s="197">
        <v>110</v>
      </c>
      <c r="M15" s="197">
        <v>135</v>
      </c>
      <c r="N15" s="197">
        <v>110</v>
      </c>
      <c r="O15" s="197">
        <v>130</v>
      </c>
      <c r="P15" s="197">
        <v>125</v>
      </c>
      <c r="Q15" s="197">
        <v>125</v>
      </c>
      <c r="R15" s="201" t="s">
        <v>1034</v>
      </c>
      <c r="T15" s="199">
        <f>AVERAGE(G15:R15)</f>
        <v>121.81818181818181</v>
      </c>
      <c r="V15" s="208">
        <f>T15*100</f>
        <v>12181.818181818182</v>
      </c>
      <c r="W15" s="209" t="s">
        <v>428</v>
      </c>
      <c r="Y15" s="146"/>
      <c r="Z15" s="195"/>
      <c r="AA15" s="195"/>
      <c r="AB15" s="195"/>
      <c r="AC15" s="195"/>
    </row>
    <row r="16" spans="1:39" x14ac:dyDescent="0.15">
      <c r="A16" s="18" t="s">
        <v>104</v>
      </c>
      <c r="B16" s="18" t="s">
        <v>426</v>
      </c>
      <c r="C16" s="18" t="s">
        <v>426</v>
      </c>
      <c r="D16" s="18" t="s">
        <v>427</v>
      </c>
      <c r="E16" s="790">
        <v>30299999</v>
      </c>
      <c r="F16" s="764" t="s">
        <v>1033</v>
      </c>
      <c r="G16" s="197">
        <v>29</v>
      </c>
      <c r="H16" s="197">
        <v>30</v>
      </c>
      <c r="I16" s="197">
        <v>28</v>
      </c>
      <c r="J16" s="197">
        <v>32</v>
      </c>
      <c r="K16" s="197">
        <v>34</v>
      </c>
      <c r="L16" s="197">
        <v>31</v>
      </c>
      <c r="M16" s="197">
        <v>27</v>
      </c>
      <c r="N16" s="197">
        <v>29</v>
      </c>
      <c r="O16" s="197">
        <v>30</v>
      </c>
      <c r="P16" s="197">
        <v>31</v>
      </c>
      <c r="Q16" s="197">
        <v>29</v>
      </c>
      <c r="R16" s="201" t="s">
        <v>1034</v>
      </c>
      <c r="T16" s="199">
        <f t="shared" ref="T16:T55" si="0">AVERAGE(G16:R16)</f>
        <v>30</v>
      </c>
      <c r="V16" s="211">
        <f>T16*100</f>
        <v>3000</v>
      </c>
      <c r="W16" s="212" t="s">
        <v>536</v>
      </c>
      <c r="Y16" s="146"/>
      <c r="Z16" s="195"/>
      <c r="AA16" s="195"/>
      <c r="AB16" s="195"/>
      <c r="AC16" s="195"/>
    </row>
    <row r="17" spans="1:29" x14ac:dyDescent="0.15">
      <c r="A17" s="18" t="s">
        <v>433</v>
      </c>
      <c r="B17" s="18" t="s">
        <v>429</v>
      </c>
      <c r="C17" s="18" t="s">
        <v>426</v>
      </c>
      <c r="D17" s="18" t="s">
        <v>427</v>
      </c>
      <c r="E17" s="790">
        <v>30399999</v>
      </c>
      <c r="F17" s="764" t="s">
        <v>1033</v>
      </c>
      <c r="G17" s="197">
        <v>27</v>
      </c>
      <c r="H17" s="197">
        <v>27</v>
      </c>
      <c r="I17" s="201" t="s">
        <v>1034</v>
      </c>
      <c r="J17" s="201" t="s">
        <v>1034</v>
      </c>
      <c r="K17" s="201" t="s">
        <v>1034</v>
      </c>
      <c r="L17" s="201" t="s">
        <v>1034</v>
      </c>
      <c r="M17" s="201" t="s">
        <v>1034</v>
      </c>
      <c r="N17" s="201" t="s">
        <v>1034</v>
      </c>
      <c r="O17" s="201" t="s">
        <v>1034</v>
      </c>
      <c r="P17" s="201" t="s">
        <v>1034</v>
      </c>
      <c r="Q17" s="201" t="s">
        <v>1034</v>
      </c>
      <c r="R17" s="201" t="s">
        <v>1034</v>
      </c>
      <c r="T17" s="199">
        <f t="shared" si="0"/>
        <v>27</v>
      </c>
      <c r="V17" s="211">
        <f>T17*100</f>
        <v>2700</v>
      </c>
      <c r="W17" s="213" t="s">
        <v>564</v>
      </c>
      <c r="Y17" s="146"/>
      <c r="Z17" s="195"/>
      <c r="AA17" s="195"/>
      <c r="AB17" s="195"/>
      <c r="AC17" s="195"/>
    </row>
    <row r="18" spans="1:29" x14ac:dyDescent="0.15">
      <c r="A18" s="18" t="s">
        <v>433</v>
      </c>
      <c r="B18" s="18" t="s">
        <v>430</v>
      </c>
      <c r="C18" s="18" t="s">
        <v>432</v>
      </c>
      <c r="D18" s="18" t="s">
        <v>427</v>
      </c>
      <c r="E18" s="790">
        <v>30399999</v>
      </c>
      <c r="F18" s="764" t="s">
        <v>1035</v>
      </c>
      <c r="G18" s="197">
        <v>1.19</v>
      </c>
      <c r="H18" s="197">
        <v>1.33</v>
      </c>
      <c r="I18" s="197">
        <v>1.28</v>
      </c>
      <c r="J18" s="197">
        <v>1.31</v>
      </c>
      <c r="K18" s="197">
        <v>1.44</v>
      </c>
      <c r="L18" s="197">
        <v>1.51</v>
      </c>
      <c r="M18" s="197">
        <v>1.3</v>
      </c>
      <c r="N18" s="197">
        <v>1.36</v>
      </c>
      <c r="O18" s="197">
        <v>1.31</v>
      </c>
      <c r="P18" s="197">
        <v>1.45</v>
      </c>
      <c r="Q18" s="197">
        <v>1.47</v>
      </c>
      <c r="R18" s="201" t="s">
        <v>1034</v>
      </c>
      <c r="T18" s="199">
        <f t="shared" si="0"/>
        <v>1.3590909090909091</v>
      </c>
      <c r="V18" s="211">
        <f>T18*2000</f>
        <v>2718.1818181818185</v>
      </c>
      <c r="W18" s="213" t="s">
        <v>565</v>
      </c>
      <c r="Y18" s="146"/>
      <c r="Z18" s="195"/>
      <c r="AA18" s="195"/>
      <c r="AB18" s="195"/>
      <c r="AC18" s="195"/>
    </row>
    <row r="19" spans="1:29" x14ac:dyDescent="0.15">
      <c r="A19" s="18" t="s">
        <v>434</v>
      </c>
      <c r="B19" s="18" t="s">
        <v>429</v>
      </c>
      <c r="C19" s="18" t="s">
        <v>426</v>
      </c>
      <c r="D19" s="18" t="s">
        <v>427</v>
      </c>
      <c r="E19" s="790">
        <v>30499999</v>
      </c>
      <c r="F19" s="764" t="s">
        <v>1033</v>
      </c>
      <c r="G19" s="197">
        <v>64</v>
      </c>
      <c r="H19" s="197">
        <v>64</v>
      </c>
      <c r="I19" s="197">
        <v>61</v>
      </c>
      <c r="J19" s="197">
        <v>61</v>
      </c>
      <c r="K19" s="197">
        <v>62</v>
      </c>
      <c r="L19" s="197">
        <v>57</v>
      </c>
      <c r="M19" s="197">
        <v>66</v>
      </c>
      <c r="N19" s="197">
        <v>67</v>
      </c>
      <c r="O19" s="197">
        <v>64</v>
      </c>
      <c r="P19" s="197">
        <v>57</v>
      </c>
      <c r="Q19" s="197">
        <v>57</v>
      </c>
      <c r="R19" s="201" t="s">
        <v>1034</v>
      </c>
      <c r="T19" s="199">
        <f t="shared" si="0"/>
        <v>61.81818181818182</v>
      </c>
      <c r="V19" s="211">
        <f>T19*100</f>
        <v>6181.818181818182</v>
      </c>
      <c r="W19" s="212" t="s">
        <v>549</v>
      </c>
      <c r="Y19" s="146"/>
      <c r="Z19" s="195"/>
      <c r="AA19" s="195"/>
      <c r="AB19" s="195"/>
      <c r="AC19" s="195"/>
    </row>
    <row r="20" spans="1:29" x14ac:dyDescent="0.15">
      <c r="A20" s="18" t="s">
        <v>434</v>
      </c>
      <c r="B20" s="18" t="s">
        <v>430</v>
      </c>
      <c r="C20" s="18" t="s">
        <v>431</v>
      </c>
      <c r="D20" s="18" t="s">
        <v>427</v>
      </c>
      <c r="E20" s="790">
        <v>30499999</v>
      </c>
      <c r="F20" s="764" t="s">
        <v>1035</v>
      </c>
      <c r="G20" s="197">
        <v>3.69</v>
      </c>
      <c r="H20" s="197">
        <v>3.47</v>
      </c>
      <c r="I20" s="197">
        <v>3.91</v>
      </c>
      <c r="J20" s="197">
        <v>3.8</v>
      </c>
      <c r="K20" s="197">
        <v>4.0999999999999996</v>
      </c>
      <c r="L20" s="197">
        <v>4.05</v>
      </c>
      <c r="M20" s="197">
        <v>3.94</v>
      </c>
      <c r="N20" s="197">
        <v>3.85</v>
      </c>
      <c r="O20" s="197">
        <v>4.13</v>
      </c>
      <c r="P20" s="197">
        <v>4.2300000000000004</v>
      </c>
      <c r="Q20" s="197">
        <v>3.78</v>
      </c>
      <c r="R20" s="201" t="s">
        <v>1034</v>
      </c>
      <c r="T20" s="199">
        <f t="shared" si="0"/>
        <v>3.9045454545454548</v>
      </c>
      <c r="V20" s="211">
        <f>T20*2000</f>
        <v>7809.0909090909099</v>
      </c>
      <c r="W20" s="212" t="s">
        <v>550</v>
      </c>
      <c r="Y20" s="146"/>
      <c r="Z20" s="195"/>
      <c r="AA20" s="195"/>
      <c r="AB20" s="195"/>
      <c r="AC20" s="195"/>
    </row>
    <row r="21" spans="1:29" x14ac:dyDescent="0.15">
      <c r="A21" s="18" t="s">
        <v>434</v>
      </c>
      <c r="B21" s="18" t="s">
        <v>430</v>
      </c>
      <c r="C21" s="18" t="s">
        <v>432</v>
      </c>
      <c r="D21" s="18" t="s">
        <v>427</v>
      </c>
      <c r="E21" s="790">
        <v>30499999</v>
      </c>
      <c r="F21" s="764" t="s">
        <v>1035</v>
      </c>
      <c r="G21" s="197">
        <v>4.1500000000000004</v>
      </c>
      <c r="H21" s="197">
        <v>3.69</v>
      </c>
      <c r="I21" s="197">
        <v>3.99</v>
      </c>
      <c r="J21" s="197">
        <v>3.93</v>
      </c>
      <c r="K21" s="197">
        <v>4.3</v>
      </c>
      <c r="L21" s="197">
        <v>3.9</v>
      </c>
      <c r="M21" s="197">
        <v>3.73</v>
      </c>
      <c r="N21" s="197">
        <v>3.68</v>
      </c>
      <c r="O21" s="197">
        <v>3.97</v>
      </c>
      <c r="P21" s="197">
        <v>3.99</v>
      </c>
      <c r="Q21" s="197">
        <v>4.3600000000000003</v>
      </c>
      <c r="R21" s="201" t="s">
        <v>1034</v>
      </c>
      <c r="T21" s="199">
        <f t="shared" si="0"/>
        <v>3.9718181818181817</v>
      </c>
      <c r="V21" s="211">
        <f>T21*2000</f>
        <v>7943.6363636363631</v>
      </c>
      <c r="W21" s="212" t="s">
        <v>551</v>
      </c>
      <c r="Y21" s="146"/>
      <c r="Z21" s="195"/>
      <c r="AA21" s="195"/>
      <c r="AB21" s="195"/>
      <c r="AC21" s="195"/>
    </row>
    <row r="22" spans="1:29" x14ac:dyDescent="0.15">
      <c r="A22" s="18" t="s">
        <v>80</v>
      </c>
      <c r="B22" s="18" t="s">
        <v>426</v>
      </c>
      <c r="C22" s="18" t="s">
        <v>426</v>
      </c>
      <c r="D22" s="18" t="s">
        <v>427</v>
      </c>
      <c r="E22" s="790">
        <v>30799999</v>
      </c>
      <c r="F22" s="764" t="s">
        <v>1033</v>
      </c>
      <c r="G22" s="197">
        <v>141</v>
      </c>
      <c r="H22" s="197">
        <v>140</v>
      </c>
      <c r="I22" s="197">
        <v>141</v>
      </c>
      <c r="J22" s="197">
        <v>148</v>
      </c>
      <c r="K22" s="197">
        <v>148</v>
      </c>
      <c r="L22" s="197">
        <v>148</v>
      </c>
      <c r="M22" s="197">
        <v>145</v>
      </c>
      <c r="N22" s="197">
        <v>148</v>
      </c>
      <c r="O22" s="197">
        <v>158</v>
      </c>
      <c r="P22" s="197">
        <v>158</v>
      </c>
      <c r="Q22" s="197">
        <v>150</v>
      </c>
      <c r="R22" s="201" t="s">
        <v>1034</v>
      </c>
      <c r="T22" s="199">
        <f t="shared" si="0"/>
        <v>147.72727272727272</v>
      </c>
      <c r="V22" s="208">
        <f>T22*100</f>
        <v>14772.727272727272</v>
      </c>
      <c r="W22" s="209" t="s">
        <v>520</v>
      </c>
      <c r="Y22" s="146"/>
      <c r="Z22" s="195"/>
      <c r="AA22" s="195"/>
      <c r="AB22" s="195"/>
      <c r="AC22" s="195"/>
    </row>
    <row r="23" spans="1:29" x14ac:dyDescent="0.15">
      <c r="A23" s="18" t="s">
        <v>435</v>
      </c>
      <c r="B23" s="18" t="s">
        <v>426</v>
      </c>
      <c r="C23" s="18" t="s">
        <v>426</v>
      </c>
      <c r="D23" s="18" t="s">
        <v>427</v>
      </c>
      <c r="E23" s="790">
        <v>30899999</v>
      </c>
      <c r="F23" s="764" t="s">
        <v>1033</v>
      </c>
      <c r="G23" s="197">
        <v>180</v>
      </c>
      <c r="H23" s="197">
        <v>180</v>
      </c>
      <c r="I23" s="201" t="s">
        <v>1034</v>
      </c>
      <c r="J23" s="201" t="s">
        <v>1034</v>
      </c>
      <c r="K23" s="201" t="s">
        <v>1034</v>
      </c>
      <c r="L23" s="201" t="s">
        <v>1034</v>
      </c>
      <c r="M23" s="201" t="s">
        <v>1034</v>
      </c>
      <c r="N23" s="201" t="s">
        <v>1034</v>
      </c>
      <c r="O23" s="201" t="s">
        <v>1034</v>
      </c>
      <c r="P23" s="201" t="s">
        <v>1034</v>
      </c>
      <c r="Q23" s="201" t="s">
        <v>1034</v>
      </c>
      <c r="R23" s="201" t="s">
        <v>1034</v>
      </c>
      <c r="T23" s="199">
        <f t="shared" si="0"/>
        <v>180</v>
      </c>
      <c r="V23" s="211">
        <f>T23*100</f>
        <v>18000</v>
      </c>
      <c r="W23" s="212" t="s">
        <v>538</v>
      </c>
      <c r="Y23" s="146"/>
      <c r="Z23" s="195"/>
      <c r="AA23" s="195"/>
      <c r="AB23" s="195"/>
      <c r="AC23" s="195"/>
    </row>
    <row r="24" spans="1:29" x14ac:dyDescent="0.15">
      <c r="A24" s="18" t="s">
        <v>107</v>
      </c>
      <c r="B24" s="18" t="s">
        <v>429</v>
      </c>
      <c r="C24" s="18" t="s">
        <v>426</v>
      </c>
      <c r="D24" s="18" t="s">
        <v>427</v>
      </c>
      <c r="E24" s="790">
        <v>31099999</v>
      </c>
      <c r="F24" s="764" t="s">
        <v>1033</v>
      </c>
      <c r="G24" s="197">
        <v>333</v>
      </c>
      <c r="H24" s="197">
        <v>331</v>
      </c>
      <c r="I24" s="197">
        <v>320</v>
      </c>
      <c r="J24" s="197">
        <v>303</v>
      </c>
      <c r="K24" s="197">
        <v>331</v>
      </c>
      <c r="L24" s="197">
        <v>324</v>
      </c>
      <c r="M24" s="197">
        <v>338</v>
      </c>
      <c r="N24" s="197">
        <v>346</v>
      </c>
      <c r="O24" s="197">
        <v>373</v>
      </c>
      <c r="P24" s="197">
        <v>344</v>
      </c>
      <c r="Q24" s="197">
        <v>343</v>
      </c>
      <c r="R24" s="201" t="s">
        <v>1034</v>
      </c>
      <c r="T24" s="199">
        <f t="shared" si="0"/>
        <v>335.09090909090907</v>
      </c>
      <c r="V24" s="211">
        <f>T24*100</f>
        <v>33509.090909090904</v>
      </c>
      <c r="W24" s="212" t="s">
        <v>539</v>
      </c>
      <c r="Y24" s="146"/>
      <c r="Z24" s="195"/>
      <c r="AA24" s="195"/>
      <c r="AB24" s="195"/>
      <c r="AC24" s="195"/>
    </row>
    <row r="25" spans="1:29" x14ac:dyDescent="0.15">
      <c r="A25" s="18" t="s">
        <v>107</v>
      </c>
      <c r="B25" s="18" t="s">
        <v>430</v>
      </c>
      <c r="C25" s="18" t="s">
        <v>426</v>
      </c>
      <c r="D25" s="18" t="s">
        <v>427</v>
      </c>
      <c r="E25" s="790">
        <v>31099999</v>
      </c>
      <c r="F25" s="764" t="s">
        <v>1035</v>
      </c>
      <c r="G25" s="197">
        <v>27.73</v>
      </c>
      <c r="H25" s="197">
        <v>25.09</v>
      </c>
      <c r="I25" s="201" t="s">
        <v>1034</v>
      </c>
      <c r="J25" s="201" t="s">
        <v>1034</v>
      </c>
      <c r="K25" s="201" t="s">
        <v>1034</v>
      </c>
      <c r="L25" s="201" t="s">
        <v>1034</v>
      </c>
      <c r="M25" s="201" t="s">
        <v>1034</v>
      </c>
      <c r="N25" s="201" t="s">
        <v>1034</v>
      </c>
      <c r="O25" s="201" t="s">
        <v>1034</v>
      </c>
      <c r="P25" s="201" t="s">
        <v>1034</v>
      </c>
      <c r="Q25" s="201" t="s">
        <v>1034</v>
      </c>
      <c r="R25" s="201" t="s">
        <v>1034</v>
      </c>
      <c r="T25" s="199">
        <f t="shared" si="0"/>
        <v>26.41</v>
      </c>
      <c r="V25" s="211">
        <f>T25*2000</f>
        <v>52820</v>
      </c>
      <c r="W25" s="212" t="s">
        <v>540</v>
      </c>
      <c r="Y25" s="146"/>
      <c r="Z25" s="195"/>
      <c r="AA25" s="195"/>
      <c r="AB25" s="195"/>
      <c r="AC25" s="195"/>
    </row>
    <row r="26" spans="1:29" x14ac:dyDescent="0.15">
      <c r="A26" s="18" t="s">
        <v>89</v>
      </c>
      <c r="B26" s="18" t="s">
        <v>429</v>
      </c>
      <c r="C26" s="18" t="s">
        <v>426</v>
      </c>
      <c r="D26" s="18" t="s">
        <v>427</v>
      </c>
      <c r="E26" s="790">
        <v>31399999</v>
      </c>
      <c r="F26" s="764" t="s">
        <v>1033</v>
      </c>
      <c r="G26" s="197">
        <v>295</v>
      </c>
      <c r="H26" s="197">
        <v>312</v>
      </c>
      <c r="I26" s="197">
        <v>299</v>
      </c>
      <c r="J26" s="197">
        <v>316</v>
      </c>
      <c r="K26" s="197">
        <v>322</v>
      </c>
      <c r="L26" s="197">
        <v>326</v>
      </c>
      <c r="M26" s="197">
        <v>310</v>
      </c>
      <c r="N26" s="197">
        <v>309</v>
      </c>
      <c r="O26" s="197">
        <v>333</v>
      </c>
      <c r="P26" s="197">
        <v>319</v>
      </c>
      <c r="Q26" s="197">
        <v>335</v>
      </c>
      <c r="R26" s="201" t="s">
        <v>1034</v>
      </c>
      <c r="T26" s="199">
        <f t="shared" si="0"/>
        <v>316</v>
      </c>
      <c r="V26" s="208">
        <f>T26*100</f>
        <v>31600</v>
      </c>
      <c r="W26" s="209" t="s">
        <v>527</v>
      </c>
      <c r="Y26" s="146"/>
      <c r="Z26" s="195"/>
      <c r="AA26" s="195"/>
      <c r="AB26" s="195"/>
      <c r="AC26" s="195"/>
    </row>
    <row r="27" spans="1:29" x14ac:dyDescent="0.15">
      <c r="A27" s="18" t="s">
        <v>89</v>
      </c>
      <c r="B27" s="18" t="s">
        <v>430</v>
      </c>
      <c r="C27" s="18" t="s">
        <v>426</v>
      </c>
      <c r="D27" s="18" t="s">
        <v>427</v>
      </c>
      <c r="E27" s="790">
        <v>31399999</v>
      </c>
      <c r="F27" s="764" t="s">
        <v>1035</v>
      </c>
      <c r="G27" s="197">
        <v>25.75</v>
      </c>
      <c r="H27" s="197">
        <v>24.21</v>
      </c>
      <c r="I27" s="197">
        <v>25.72</v>
      </c>
      <c r="J27" s="197">
        <v>28.19</v>
      </c>
      <c r="K27" s="197">
        <v>27.44</v>
      </c>
      <c r="L27" s="197">
        <v>28.37</v>
      </c>
      <c r="M27" s="197">
        <v>27.53</v>
      </c>
      <c r="N27" s="197">
        <v>25.09</v>
      </c>
      <c r="O27" s="197">
        <v>25.2</v>
      </c>
      <c r="P27" s="197">
        <v>26.99</v>
      </c>
      <c r="Q27" s="197">
        <v>25.66</v>
      </c>
      <c r="R27" s="201" t="s">
        <v>1034</v>
      </c>
      <c r="T27" s="199">
        <f t="shared" si="0"/>
        <v>26.377272727272729</v>
      </c>
      <c r="V27" s="208">
        <f>T27*2000</f>
        <v>52754.545454545456</v>
      </c>
      <c r="W27" s="209" t="s">
        <v>528</v>
      </c>
      <c r="Y27" s="146"/>
      <c r="Z27" s="195"/>
      <c r="AA27" s="195"/>
      <c r="AB27" s="195"/>
      <c r="AC27" s="195"/>
    </row>
    <row r="28" spans="1:29" x14ac:dyDescent="0.15">
      <c r="A28" s="18" t="s">
        <v>108</v>
      </c>
      <c r="B28" s="18" t="s">
        <v>426</v>
      </c>
      <c r="C28" s="18" t="s">
        <v>426</v>
      </c>
      <c r="D28" s="18" t="s">
        <v>427</v>
      </c>
      <c r="E28" s="790">
        <v>31499999</v>
      </c>
      <c r="F28" s="764" t="s">
        <v>1033</v>
      </c>
      <c r="G28" s="197">
        <v>165</v>
      </c>
      <c r="H28" s="197">
        <v>160</v>
      </c>
      <c r="I28" s="197">
        <v>152</v>
      </c>
      <c r="J28" s="197">
        <v>168</v>
      </c>
      <c r="K28" s="197">
        <v>172</v>
      </c>
      <c r="L28" s="197">
        <v>174</v>
      </c>
      <c r="M28" s="197">
        <v>176</v>
      </c>
      <c r="N28" s="197">
        <v>181</v>
      </c>
      <c r="O28" s="197">
        <v>181</v>
      </c>
      <c r="P28" s="197">
        <v>186</v>
      </c>
      <c r="Q28" s="197">
        <v>173</v>
      </c>
      <c r="R28" s="201" t="s">
        <v>1034</v>
      </c>
      <c r="T28" s="199">
        <f t="shared" si="0"/>
        <v>171.63636363636363</v>
      </c>
      <c r="V28" s="211">
        <f>T28*100</f>
        <v>17163.636363636364</v>
      </c>
      <c r="W28" s="212" t="s">
        <v>541</v>
      </c>
      <c r="Y28" s="146"/>
      <c r="Z28" s="195"/>
      <c r="AA28" s="195"/>
      <c r="AB28" s="195"/>
      <c r="AC28" s="195"/>
    </row>
    <row r="29" spans="1:29" x14ac:dyDescent="0.15">
      <c r="A29" s="18" t="s">
        <v>109</v>
      </c>
      <c r="B29" s="18" t="s">
        <v>426</v>
      </c>
      <c r="C29" s="18" t="s">
        <v>426</v>
      </c>
      <c r="D29" s="18" t="s">
        <v>427</v>
      </c>
      <c r="E29" s="790">
        <v>31699999</v>
      </c>
      <c r="F29" s="764" t="s">
        <v>1033</v>
      </c>
      <c r="G29" s="197">
        <v>703</v>
      </c>
      <c r="H29" s="197">
        <v>678</v>
      </c>
      <c r="I29" s="197">
        <v>691</v>
      </c>
      <c r="J29" s="197">
        <v>700</v>
      </c>
      <c r="K29" s="197">
        <v>698</v>
      </c>
      <c r="L29" s="197">
        <v>697</v>
      </c>
      <c r="M29" s="197">
        <v>694</v>
      </c>
      <c r="N29" s="197">
        <v>705</v>
      </c>
      <c r="O29" s="197">
        <v>708</v>
      </c>
      <c r="P29" s="197">
        <v>704</v>
      </c>
      <c r="Q29" s="197">
        <v>712</v>
      </c>
      <c r="R29" s="201" t="s">
        <v>1034</v>
      </c>
      <c r="T29" s="199">
        <f t="shared" si="0"/>
        <v>699.09090909090912</v>
      </c>
      <c r="V29" s="211">
        <f>T29*100</f>
        <v>69909.090909090912</v>
      </c>
      <c r="W29" s="212" t="s">
        <v>109</v>
      </c>
      <c r="Y29" s="146"/>
      <c r="Z29" s="195"/>
      <c r="AA29" s="195"/>
      <c r="AB29" s="195"/>
      <c r="AC29" s="195"/>
    </row>
    <row r="30" spans="1:29" x14ac:dyDescent="0.15">
      <c r="A30" s="18" t="s">
        <v>318</v>
      </c>
      <c r="B30" s="18" t="s">
        <v>426</v>
      </c>
      <c r="C30" s="18" t="s">
        <v>426</v>
      </c>
      <c r="D30" s="18" t="s">
        <v>427</v>
      </c>
      <c r="E30" s="790">
        <v>36499999</v>
      </c>
      <c r="F30" s="764" t="s">
        <v>1033</v>
      </c>
      <c r="G30" s="197">
        <v>111</v>
      </c>
      <c r="H30" s="197">
        <v>100</v>
      </c>
      <c r="I30" s="197">
        <v>116</v>
      </c>
      <c r="J30" s="197">
        <v>153</v>
      </c>
      <c r="K30" s="197">
        <v>172</v>
      </c>
      <c r="L30" s="197">
        <v>156</v>
      </c>
      <c r="M30" s="197">
        <v>169</v>
      </c>
      <c r="N30" s="197">
        <v>156</v>
      </c>
      <c r="O30" s="197">
        <v>167</v>
      </c>
      <c r="P30" s="197">
        <v>172</v>
      </c>
      <c r="Q30" s="197">
        <v>200</v>
      </c>
      <c r="R30" s="201" t="s">
        <v>1034</v>
      </c>
      <c r="T30" s="199">
        <f t="shared" si="0"/>
        <v>152</v>
      </c>
      <c r="V30" s="211">
        <f>T30*100</f>
        <v>15200</v>
      </c>
      <c r="W30" s="212" t="s">
        <v>542</v>
      </c>
      <c r="Y30" s="146"/>
      <c r="Z30" s="195"/>
      <c r="AA30" s="195"/>
      <c r="AB30" s="195"/>
      <c r="AC30" s="195"/>
    </row>
    <row r="31" spans="1:29" x14ac:dyDescent="0.15">
      <c r="A31" s="18" t="s">
        <v>436</v>
      </c>
      <c r="B31" s="18" t="s">
        <v>426</v>
      </c>
      <c r="C31" s="18" t="s">
        <v>426</v>
      </c>
      <c r="D31" s="18" t="s">
        <v>427</v>
      </c>
      <c r="E31" s="790">
        <v>32299999</v>
      </c>
      <c r="F31" s="764" t="s">
        <v>1033</v>
      </c>
      <c r="G31" s="197">
        <v>140</v>
      </c>
      <c r="H31" s="197">
        <v>119</v>
      </c>
      <c r="I31" s="201" t="s">
        <v>1034</v>
      </c>
      <c r="J31" s="201" t="s">
        <v>1034</v>
      </c>
      <c r="K31" s="201" t="s">
        <v>1034</v>
      </c>
      <c r="L31" s="201" t="s">
        <v>1034</v>
      </c>
      <c r="M31" s="201" t="s">
        <v>1034</v>
      </c>
      <c r="N31" s="201" t="s">
        <v>1034</v>
      </c>
      <c r="O31" s="201" t="s">
        <v>1034</v>
      </c>
      <c r="P31" s="201" t="s">
        <v>1034</v>
      </c>
      <c r="Q31" s="201" t="s">
        <v>1034</v>
      </c>
      <c r="R31" s="201" t="s">
        <v>1034</v>
      </c>
      <c r="T31" s="199">
        <f t="shared" si="0"/>
        <v>129.5</v>
      </c>
      <c r="V31" s="208">
        <f>T31*100</f>
        <v>12950</v>
      </c>
      <c r="W31" s="209" t="s">
        <v>521</v>
      </c>
      <c r="Y31" s="146"/>
      <c r="Z31" s="195"/>
      <c r="AA31" s="195"/>
      <c r="AB31" s="195"/>
      <c r="AC31" s="195"/>
    </row>
    <row r="32" spans="1:29" x14ac:dyDescent="0.15">
      <c r="A32" s="18" t="s">
        <v>437</v>
      </c>
      <c r="B32" s="18" t="s">
        <v>429</v>
      </c>
      <c r="C32" s="18" t="s">
        <v>426</v>
      </c>
      <c r="D32" s="18" t="s">
        <v>427</v>
      </c>
      <c r="E32" s="790">
        <v>32399999</v>
      </c>
      <c r="F32" s="764" t="s">
        <v>1033</v>
      </c>
      <c r="G32" s="197">
        <v>109</v>
      </c>
      <c r="H32" s="197">
        <v>109</v>
      </c>
      <c r="I32" s="197">
        <v>108</v>
      </c>
      <c r="J32" s="197">
        <v>116</v>
      </c>
      <c r="K32" s="197">
        <v>116</v>
      </c>
      <c r="L32" s="197">
        <v>115</v>
      </c>
      <c r="M32" s="197">
        <v>118</v>
      </c>
      <c r="N32" s="197">
        <v>122</v>
      </c>
      <c r="O32" s="197">
        <v>124</v>
      </c>
      <c r="P32" s="197">
        <v>122</v>
      </c>
      <c r="Q32" s="197">
        <v>118</v>
      </c>
      <c r="R32" s="201" t="s">
        <v>1034</v>
      </c>
      <c r="T32" s="199">
        <f t="shared" si="0"/>
        <v>116.09090909090909</v>
      </c>
      <c r="V32" s="211">
        <f>T32*100</f>
        <v>11609.09090909091</v>
      </c>
      <c r="W32" s="212" t="s">
        <v>533</v>
      </c>
      <c r="Y32" s="146"/>
      <c r="Z32" s="195"/>
      <c r="AA32" s="195"/>
      <c r="AB32" s="195"/>
      <c r="AC32" s="195"/>
    </row>
    <row r="33" spans="1:29" x14ac:dyDescent="0.15">
      <c r="A33" s="18" t="s">
        <v>437</v>
      </c>
      <c r="B33" s="18" t="s">
        <v>430</v>
      </c>
      <c r="C33" s="18" t="s">
        <v>431</v>
      </c>
      <c r="D33" s="18" t="s">
        <v>427</v>
      </c>
      <c r="E33" s="790">
        <v>32399999</v>
      </c>
      <c r="F33" s="764" t="s">
        <v>1035</v>
      </c>
      <c r="G33" s="197">
        <v>6.44</v>
      </c>
      <c r="H33" s="197">
        <v>6.74</v>
      </c>
      <c r="I33" s="197">
        <v>6.98</v>
      </c>
      <c r="J33" s="197">
        <v>7.2</v>
      </c>
      <c r="K33" s="197">
        <v>6.86</v>
      </c>
      <c r="L33" s="197">
        <v>7.35</v>
      </c>
      <c r="M33" s="197">
        <v>7.47</v>
      </c>
      <c r="N33" s="197">
        <v>7.32</v>
      </c>
      <c r="O33" s="197">
        <v>7.67</v>
      </c>
      <c r="P33" s="197">
        <v>8.33</v>
      </c>
      <c r="Q33" s="197">
        <v>7.59</v>
      </c>
      <c r="R33" s="201" t="s">
        <v>1034</v>
      </c>
      <c r="T33" s="199">
        <f t="shared" si="0"/>
        <v>7.2681818181818185</v>
      </c>
      <c r="V33" s="211">
        <f>T33*2000</f>
        <v>14536.363636363638</v>
      </c>
      <c r="W33" s="212" t="s">
        <v>534</v>
      </c>
      <c r="Y33" s="146"/>
      <c r="Z33" s="195"/>
      <c r="AA33" s="195"/>
      <c r="AB33" s="195"/>
      <c r="AC33" s="195"/>
    </row>
    <row r="34" spans="1:29" x14ac:dyDescent="0.15">
      <c r="A34" s="18" t="s">
        <v>437</v>
      </c>
      <c r="B34" s="18" t="s">
        <v>430</v>
      </c>
      <c r="C34" s="18" t="s">
        <v>432</v>
      </c>
      <c r="D34" s="18" t="s">
        <v>427</v>
      </c>
      <c r="E34" s="790">
        <v>32399999</v>
      </c>
      <c r="F34" s="764" t="s">
        <v>1035</v>
      </c>
      <c r="G34" s="197">
        <v>7.43</v>
      </c>
      <c r="H34" s="197">
        <v>7.34</v>
      </c>
      <c r="I34" s="197">
        <v>7.72</v>
      </c>
      <c r="J34" s="197">
        <v>8.1300000000000008</v>
      </c>
      <c r="K34" s="197">
        <v>7.81</v>
      </c>
      <c r="L34" s="197">
        <v>8.4499999999999993</v>
      </c>
      <c r="M34" s="197">
        <v>8.57</v>
      </c>
      <c r="N34" s="197">
        <v>8.39</v>
      </c>
      <c r="O34" s="197">
        <v>8.0299999999999994</v>
      </c>
      <c r="P34" s="197">
        <v>8.6999999999999993</v>
      </c>
      <c r="Q34" s="197">
        <v>8.2799999999999994</v>
      </c>
      <c r="R34" s="201" t="s">
        <v>1034</v>
      </c>
      <c r="T34" s="199">
        <f t="shared" si="0"/>
        <v>8.0772727272727263</v>
      </c>
      <c r="V34" s="211">
        <f>T34*2000</f>
        <v>16154.545454545452</v>
      </c>
      <c r="W34" s="212" t="s">
        <v>535</v>
      </c>
      <c r="Y34" s="146"/>
      <c r="Z34" s="195"/>
      <c r="AA34" s="195"/>
      <c r="AB34" s="195"/>
      <c r="AC34" s="195"/>
    </row>
    <row r="35" spans="1:29" x14ac:dyDescent="0.15">
      <c r="A35" s="18" t="s">
        <v>111</v>
      </c>
      <c r="B35" s="18" t="s">
        <v>429</v>
      </c>
      <c r="C35" s="18" t="s">
        <v>426</v>
      </c>
      <c r="D35" s="18" t="s">
        <v>427</v>
      </c>
      <c r="E35" s="790">
        <v>32599999</v>
      </c>
      <c r="F35" s="764" t="s">
        <v>1033</v>
      </c>
      <c r="G35" s="197">
        <v>209</v>
      </c>
      <c r="H35" s="197">
        <v>197</v>
      </c>
      <c r="I35" s="197">
        <v>199</v>
      </c>
      <c r="J35" s="197">
        <v>172</v>
      </c>
      <c r="K35" s="197">
        <v>177</v>
      </c>
      <c r="L35" s="197">
        <v>178</v>
      </c>
      <c r="M35" s="197">
        <v>179</v>
      </c>
      <c r="N35" s="197">
        <v>190</v>
      </c>
      <c r="O35" s="197">
        <v>189</v>
      </c>
      <c r="P35" s="197">
        <v>201</v>
      </c>
      <c r="Q35" s="197">
        <v>193</v>
      </c>
      <c r="R35" s="201" t="s">
        <v>1034</v>
      </c>
      <c r="T35" s="199">
        <f t="shared" si="0"/>
        <v>189.45454545454547</v>
      </c>
      <c r="V35" s="211">
        <f>T35*100</f>
        <v>18945.454545454548</v>
      </c>
      <c r="W35" s="212" t="s">
        <v>543</v>
      </c>
      <c r="Y35" s="146"/>
      <c r="Z35" s="195"/>
      <c r="AA35" s="195"/>
      <c r="AB35" s="195"/>
      <c r="AC35" s="195"/>
    </row>
    <row r="36" spans="1:29" x14ac:dyDescent="0.15">
      <c r="A36" s="18" t="s">
        <v>111</v>
      </c>
      <c r="B36" s="18" t="s">
        <v>430</v>
      </c>
      <c r="C36" s="18" t="s">
        <v>426</v>
      </c>
      <c r="D36" s="18" t="s">
        <v>427</v>
      </c>
      <c r="E36" s="790">
        <v>32599999</v>
      </c>
      <c r="F36" s="764" t="s">
        <v>1035</v>
      </c>
      <c r="G36" s="197">
        <v>5.86</v>
      </c>
      <c r="H36" s="197">
        <v>5.37</v>
      </c>
      <c r="I36" s="197">
        <v>5.26</v>
      </c>
      <c r="J36" s="197">
        <v>5.46</v>
      </c>
      <c r="K36" s="197">
        <v>5.23</v>
      </c>
      <c r="L36" s="197">
        <v>4.8899999999999997</v>
      </c>
      <c r="M36" s="197">
        <v>4.9000000000000004</v>
      </c>
      <c r="N36" s="197">
        <v>5.33</v>
      </c>
      <c r="O36" s="197">
        <v>5.87</v>
      </c>
      <c r="P36" s="197">
        <v>5.63</v>
      </c>
      <c r="Q36" s="197">
        <v>6.23</v>
      </c>
      <c r="R36" s="201" t="s">
        <v>1034</v>
      </c>
      <c r="T36" s="199">
        <f t="shared" si="0"/>
        <v>5.4572727272727271</v>
      </c>
      <c r="V36" s="211">
        <f>T36*2000</f>
        <v>10914.545454545454</v>
      </c>
      <c r="W36" s="212" t="s">
        <v>544</v>
      </c>
      <c r="Y36" s="146"/>
      <c r="Z36" s="195"/>
      <c r="AA36" s="195"/>
      <c r="AB36" s="195"/>
      <c r="AC36" s="195"/>
    </row>
    <row r="37" spans="1:29" x14ac:dyDescent="0.15">
      <c r="A37" s="18" t="s">
        <v>438</v>
      </c>
      <c r="B37" s="18" t="s">
        <v>429</v>
      </c>
      <c r="C37" s="18" t="s">
        <v>426</v>
      </c>
      <c r="D37" s="18" t="s">
        <v>427</v>
      </c>
      <c r="E37" s="790">
        <v>33099999</v>
      </c>
      <c r="F37" s="764" t="s">
        <v>1033</v>
      </c>
      <c r="G37" s="197">
        <v>260</v>
      </c>
      <c r="H37" s="197">
        <v>291</v>
      </c>
      <c r="I37" s="201" t="s">
        <v>1034</v>
      </c>
      <c r="J37" s="201" t="s">
        <v>1034</v>
      </c>
      <c r="K37" s="201" t="s">
        <v>1034</v>
      </c>
      <c r="L37" s="201" t="s">
        <v>1034</v>
      </c>
      <c r="M37" s="201" t="s">
        <v>1034</v>
      </c>
      <c r="N37" s="201" t="s">
        <v>1034</v>
      </c>
      <c r="O37" s="201" t="s">
        <v>1034</v>
      </c>
      <c r="P37" s="201" t="s">
        <v>1034</v>
      </c>
      <c r="Q37" s="201" t="s">
        <v>1034</v>
      </c>
      <c r="R37" s="201" t="s">
        <v>1034</v>
      </c>
      <c r="T37" s="199">
        <f t="shared" si="0"/>
        <v>275.5</v>
      </c>
      <c r="V37" s="211">
        <f t="shared" ref="V37:V49" si="1">T37*100</f>
        <v>27550</v>
      </c>
      <c r="W37" s="212" t="s">
        <v>112</v>
      </c>
      <c r="Y37" s="146"/>
      <c r="Z37" s="195"/>
      <c r="AA37" s="195"/>
      <c r="AB37" s="195"/>
      <c r="AC37" s="195"/>
    </row>
    <row r="38" spans="1:29" x14ac:dyDescent="0.15">
      <c r="A38" s="18" t="s">
        <v>439</v>
      </c>
      <c r="B38" s="18" t="s">
        <v>429</v>
      </c>
      <c r="C38" s="18" t="s">
        <v>426</v>
      </c>
      <c r="D38" s="18" t="s">
        <v>427</v>
      </c>
      <c r="E38" s="790">
        <v>33299999</v>
      </c>
      <c r="F38" s="764" t="s">
        <v>1033</v>
      </c>
      <c r="G38" s="197">
        <v>181</v>
      </c>
      <c r="H38" s="197">
        <v>180</v>
      </c>
      <c r="I38" s="201" t="s">
        <v>1034</v>
      </c>
      <c r="J38" s="201" t="s">
        <v>1034</v>
      </c>
      <c r="K38" s="201" t="s">
        <v>1034</v>
      </c>
      <c r="L38" s="201" t="s">
        <v>1034</v>
      </c>
      <c r="M38" s="201" t="s">
        <v>1034</v>
      </c>
      <c r="N38" s="201" t="s">
        <v>1034</v>
      </c>
      <c r="O38" s="201" t="s">
        <v>1034</v>
      </c>
      <c r="P38" s="201" t="s">
        <v>1034</v>
      </c>
      <c r="Q38" s="201" t="s">
        <v>1034</v>
      </c>
      <c r="R38" s="201" t="s">
        <v>1034</v>
      </c>
      <c r="T38" s="199">
        <f t="shared" si="0"/>
        <v>180.5</v>
      </c>
      <c r="V38" s="208">
        <f t="shared" si="1"/>
        <v>18050</v>
      </c>
      <c r="W38" s="209" t="s">
        <v>522</v>
      </c>
      <c r="Y38" s="146"/>
      <c r="Z38" s="195"/>
      <c r="AA38" s="195"/>
      <c r="AB38" s="195"/>
      <c r="AC38" s="195"/>
    </row>
    <row r="39" spans="1:29" x14ac:dyDescent="0.15">
      <c r="A39" s="18" t="s">
        <v>113</v>
      </c>
      <c r="B39" s="18" t="s">
        <v>426</v>
      </c>
      <c r="C39" s="18" t="s">
        <v>426</v>
      </c>
      <c r="D39" s="18" t="s">
        <v>427</v>
      </c>
      <c r="E39" s="790">
        <v>33599999</v>
      </c>
      <c r="F39" s="764" t="s">
        <v>1033</v>
      </c>
      <c r="G39" s="197">
        <v>160</v>
      </c>
      <c r="H39" s="197">
        <v>167</v>
      </c>
      <c r="I39" s="197">
        <v>172</v>
      </c>
      <c r="J39" s="197">
        <v>178</v>
      </c>
      <c r="K39" s="197">
        <v>165</v>
      </c>
      <c r="L39" s="197">
        <v>160</v>
      </c>
      <c r="M39" s="197">
        <v>165</v>
      </c>
      <c r="N39" s="197">
        <v>165</v>
      </c>
      <c r="O39" s="197">
        <v>168</v>
      </c>
      <c r="P39" s="197">
        <v>174</v>
      </c>
      <c r="Q39" s="197">
        <v>164</v>
      </c>
      <c r="R39" s="201" t="s">
        <v>1034</v>
      </c>
      <c r="T39" s="199">
        <f t="shared" si="0"/>
        <v>167.09090909090909</v>
      </c>
      <c r="V39" s="211">
        <f t="shared" si="1"/>
        <v>16709.090909090908</v>
      </c>
      <c r="W39" s="212" t="s">
        <v>113</v>
      </c>
      <c r="Y39" s="146"/>
      <c r="Z39" s="195"/>
      <c r="AA39" s="195"/>
      <c r="AB39" s="195"/>
      <c r="AC39" s="195"/>
    </row>
    <row r="40" spans="1:29" x14ac:dyDescent="0.15">
      <c r="A40" s="18" t="s">
        <v>83</v>
      </c>
      <c r="B40" s="18" t="s">
        <v>426</v>
      </c>
      <c r="C40" s="18" t="s">
        <v>426</v>
      </c>
      <c r="D40" s="18" t="s">
        <v>427</v>
      </c>
      <c r="E40" s="790">
        <v>33799999</v>
      </c>
      <c r="F40" s="764" t="s">
        <v>1033</v>
      </c>
      <c r="G40" s="197">
        <v>190</v>
      </c>
      <c r="H40" s="197">
        <v>179</v>
      </c>
      <c r="I40" s="201" t="s">
        <v>1034</v>
      </c>
      <c r="J40" s="201" t="s">
        <v>1034</v>
      </c>
      <c r="K40" s="201" t="s">
        <v>1034</v>
      </c>
      <c r="L40" s="201" t="s">
        <v>1034</v>
      </c>
      <c r="M40" s="201" t="s">
        <v>1034</v>
      </c>
      <c r="N40" s="201" t="s">
        <v>1034</v>
      </c>
      <c r="O40" s="201" t="s">
        <v>1034</v>
      </c>
      <c r="P40" s="201" t="s">
        <v>1034</v>
      </c>
      <c r="Q40" s="201" t="s">
        <v>1034</v>
      </c>
      <c r="R40" s="201" t="s">
        <v>1034</v>
      </c>
      <c r="T40" s="199">
        <f t="shared" si="0"/>
        <v>184.5</v>
      </c>
      <c r="V40" s="208">
        <f t="shared" si="1"/>
        <v>18450</v>
      </c>
      <c r="W40" s="209" t="s">
        <v>83</v>
      </c>
      <c r="Y40" s="146"/>
      <c r="Z40" s="195"/>
      <c r="AA40" s="195"/>
      <c r="AB40" s="195"/>
      <c r="AC40" s="195"/>
    </row>
    <row r="41" spans="1:29" x14ac:dyDescent="0.15">
      <c r="A41" s="18" t="s">
        <v>319</v>
      </c>
      <c r="B41" s="18" t="s">
        <v>429</v>
      </c>
      <c r="C41" s="18" t="s">
        <v>426</v>
      </c>
      <c r="D41" s="18" t="s">
        <v>427</v>
      </c>
      <c r="E41" s="790">
        <v>34099999</v>
      </c>
      <c r="F41" s="764" t="s">
        <v>1033</v>
      </c>
      <c r="G41" s="197">
        <v>377</v>
      </c>
      <c r="H41" s="197">
        <v>374</v>
      </c>
      <c r="I41" s="197">
        <v>369</v>
      </c>
      <c r="J41" s="197">
        <v>369</v>
      </c>
      <c r="K41" s="197">
        <v>366</v>
      </c>
      <c r="L41" s="197">
        <v>368</v>
      </c>
      <c r="M41" s="197">
        <v>350</v>
      </c>
      <c r="N41" s="197">
        <v>355</v>
      </c>
      <c r="O41" s="197">
        <v>356</v>
      </c>
      <c r="P41" s="197">
        <v>372</v>
      </c>
      <c r="Q41" s="197">
        <v>365</v>
      </c>
      <c r="R41" s="201" t="s">
        <v>1034</v>
      </c>
      <c r="T41" s="199">
        <f t="shared" si="0"/>
        <v>365.54545454545456</v>
      </c>
      <c r="V41" s="211">
        <f t="shared" si="1"/>
        <v>36554.545454545456</v>
      </c>
      <c r="W41" s="212" t="s">
        <v>545</v>
      </c>
      <c r="Y41" s="146"/>
      <c r="Z41" s="195"/>
      <c r="AA41" s="195"/>
      <c r="AB41" s="195"/>
      <c r="AC41" s="195"/>
    </row>
    <row r="42" spans="1:29" x14ac:dyDescent="0.15">
      <c r="A42" s="18" t="s">
        <v>320</v>
      </c>
      <c r="B42" s="18" t="s">
        <v>429</v>
      </c>
      <c r="C42" s="18" t="s">
        <v>426</v>
      </c>
      <c r="D42" s="18" t="s">
        <v>427</v>
      </c>
      <c r="E42" s="790">
        <v>34299999</v>
      </c>
      <c r="F42" s="764" t="s">
        <v>1033</v>
      </c>
      <c r="G42" s="197">
        <v>252</v>
      </c>
      <c r="H42" s="197">
        <v>226</v>
      </c>
      <c r="I42" s="197">
        <v>249</v>
      </c>
      <c r="J42" s="197">
        <v>233</v>
      </c>
      <c r="K42" s="197">
        <v>236</v>
      </c>
      <c r="L42" s="197">
        <v>241</v>
      </c>
      <c r="M42" s="197">
        <v>238</v>
      </c>
      <c r="N42" s="197">
        <v>224</v>
      </c>
      <c r="O42" s="197">
        <v>244</v>
      </c>
      <c r="P42" s="197">
        <v>241</v>
      </c>
      <c r="Q42" s="197">
        <v>233</v>
      </c>
      <c r="R42" s="201" t="s">
        <v>1034</v>
      </c>
      <c r="T42" s="199">
        <f t="shared" si="0"/>
        <v>237.90909090909091</v>
      </c>
      <c r="V42" s="211">
        <f t="shared" si="1"/>
        <v>23790.909090909092</v>
      </c>
      <c r="W42" s="209" t="s">
        <v>1332</v>
      </c>
      <c r="Y42" s="146"/>
      <c r="Z42" s="195"/>
      <c r="AA42" s="195"/>
      <c r="AB42" s="195"/>
      <c r="AC42" s="195"/>
    </row>
    <row r="43" spans="1:29" x14ac:dyDescent="0.15">
      <c r="A43" s="18" t="s">
        <v>321</v>
      </c>
      <c r="B43" s="18" t="s">
        <v>429</v>
      </c>
      <c r="C43" s="18" t="s">
        <v>426</v>
      </c>
      <c r="D43" s="18" t="s">
        <v>427</v>
      </c>
      <c r="E43" s="790">
        <v>34199999</v>
      </c>
      <c r="F43" s="764" t="s">
        <v>1033</v>
      </c>
      <c r="G43" s="197">
        <v>308</v>
      </c>
      <c r="H43" s="197">
        <v>284</v>
      </c>
      <c r="I43" s="197">
        <v>318</v>
      </c>
      <c r="J43" s="197">
        <v>297</v>
      </c>
      <c r="K43" s="197">
        <v>347</v>
      </c>
      <c r="L43" s="197">
        <v>330</v>
      </c>
      <c r="M43" s="197">
        <v>307</v>
      </c>
      <c r="N43" s="197">
        <v>320</v>
      </c>
      <c r="O43" s="197">
        <v>294</v>
      </c>
      <c r="P43" s="197">
        <v>294</v>
      </c>
      <c r="Q43" s="197">
        <v>315</v>
      </c>
      <c r="R43" s="201" t="s">
        <v>1034</v>
      </c>
      <c r="T43" s="199">
        <f t="shared" si="0"/>
        <v>310.36363636363637</v>
      </c>
      <c r="V43" s="208">
        <f t="shared" si="1"/>
        <v>31036.363636363636</v>
      </c>
      <c r="W43" s="209" t="s">
        <v>546</v>
      </c>
      <c r="Y43" s="146"/>
      <c r="Z43" s="195"/>
      <c r="AA43" s="195"/>
      <c r="AB43" s="195"/>
      <c r="AC43" s="195"/>
    </row>
    <row r="44" spans="1:29" x14ac:dyDescent="0.15">
      <c r="A44" s="18" t="s">
        <v>322</v>
      </c>
      <c r="B44" s="18" t="s">
        <v>429</v>
      </c>
      <c r="C44" s="18" t="s">
        <v>426</v>
      </c>
      <c r="D44" s="18" t="s">
        <v>427</v>
      </c>
      <c r="E44" s="790">
        <v>34399999</v>
      </c>
      <c r="F44" s="764" t="s">
        <v>1033</v>
      </c>
      <c r="G44" s="197">
        <v>223</v>
      </c>
      <c r="H44" s="197">
        <v>238</v>
      </c>
      <c r="I44" s="197">
        <v>250</v>
      </c>
      <c r="J44" s="197">
        <v>258</v>
      </c>
      <c r="K44" s="197">
        <v>251</v>
      </c>
      <c r="L44" s="197">
        <v>242</v>
      </c>
      <c r="M44" s="197">
        <v>246</v>
      </c>
      <c r="N44" s="197">
        <v>277</v>
      </c>
      <c r="O44" s="197">
        <v>269</v>
      </c>
      <c r="P44" s="197">
        <v>258</v>
      </c>
      <c r="Q44" s="197">
        <v>252</v>
      </c>
      <c r="R44" s="201" t="s">
        <v>1034</v>
      </c>
      <c r="T44" s="199">
        <f t="shared" si="0"/>
        <v>251.27272727272728</v>
      </c>
      <c r="V44" s="211">
        <f t="shared" si="1"/>
        <v>25127.272727272728</v>
      </c>
      <c r="W44" s="213" t="s">
        <v>558</v>
      </c>
      <c r="Y44" s="146"/>
      <c r="Z44" s="195"/>
      <c r="AA44" s="195"/>
      <c r="AB44" s="195"/>
      <c r="AC44" s="195"/>
    </row>
    <row r="45" spans="1:29" x14ac:dyDescent="0.15">
      <c r="A45" s="18" t="s">
        <v>323</v>
      </c>
      <c r="B45" s="18" t="s">
        <v>429</v>
      </c>
      <c r="C45" s="18" t="s">
        <v>426</v>
      </c>
      <c r="D45" s="18" t="s">
        <v>427</v>
      </c>
      <c r="E45" s="790">
        <v>34899999</v>
      </c>
      <c r="F45" s="764" t="s">
        <v>1033</v>
      </c>
      <c r="G45" s="197">
        <v>197</v>
      </c>
      <c r="H45" s="197">
        <v>195</v>
      </c>
      <c r="I45" s="197">
        <v>208</v>
      </c>
      <c r="J45" s="197">
        <v>229</v>
      </c>
      <c r="K45" s="197">
        <v>240</v>
      </c>
      <c r="L45" s="197">
        <v>216</v>
      </c>
      <c r="M45" s="197">
        <v>231</v>
      </c>
      <c r="N45" s="197">
        <v>236</v>
      </c>
      <c r="O45" s="197">
        <v>215</v>
      </c>
      <c r="P45" s="197">
        <v>241</v>
      </c>
      <c r="Q45" s="197">
        <v>218</v>
      </c>
      <c r="R45" s="201" t="s">
        <v>1034</v>
      </c>
      <c r="T45" s="199">
        <f t="shared" si="0"/>
        <v>220.54545454545453</v>
      </c>
      <c r="V45" s="211">
        <f t="shared" si="1"/>
        <v>22054.545454545452</v>
      </c>
      <c r="W45" s="212" t="s">
        <v>561</v>
      </c>
      <c r="Y45" s="146"/>
      <c r="Z45" s="195"/>
      <c r="AA45" s="195"/>
      <c r="AB45" s="195"/>
      <c r="AC45" s="195"/>
    </row>
    <row r="46" spans="1:29" x14ac:dyDescent="0.15">
      <c r="A46" s="18" t="s">
        <v>324</v>
      </c>
      <c r="B46" s="18" t="s">
        <v>429</v>
      </c>
      <c r="C46" s="18" t="s">
        <v>426</v>
      </c>
      <c r="D46" s="18" t="s">
        <v>427</v>
      </c>
      <c r="E46" s="790">
        <v>35499999</v>
      </c>
      <c r="F46" s="764" t="s">
        <v>1033</v>
      </c>
      <c r="G46" s="197">
        <v>228</v>
      </c>
      <c r="H46" s="197">
        <v>252</v>
      </c>
      <c r="I46" s="197">
        <v>260</v>
      </c>
      <c r="J46" s="197">
        <v>255</v>
      </c>
      <c r="K46" s="197">
        <v>260</v>
      </c>
      <c r="L46" s="197">
        <v>277</v>
      </c>
      <c r="M46" s="197">
        <v>304</v>
      </c>
      <c r="N46" s="197">
        <v>290</v>
      </c>
      <c r="O46" s="197">
        <v>319</v>
      </c>
      <c r="P46" s="197">
        <v>314</v>
      </c>
      <c r="Q46" s="197">
        <v>310</v>
      </c>
      <c r="R46" s="201" t="s">
        <v>1034</v>
      </c>
      <c r="T46" s="199">
        <f t="shared" si="0"/>
        <v>279</v>
      </c>
      <c r="V46" s="211">
        <f t="shared" si="1"/>
        <v>27900</v>
      </c>
      <c r="W46" s="212" t="s">
        <v>562</v>
      </c>
      <c r="Y46" s="146"/>
      <c r="Z46" s="195"/>
      <c r="AA46" s="195"/>
      <c r="AB46" s="195"/>
      <c r="AC46" s="195"/>
    </row>
    <row r="47" spans="1:29" x14ac:dyDescent="0.15">
      <c r="A47" s="18" t="s">
        <v>85</v>
      </c>
      <c r="B47" s="18" t="s">
        <v>426</v>
      </c>
      <c r="C47" s="18" t="s">
        <v>426</v>
      </c>
      <c r="D47" s="18" t="s">
        <v>427</v>
      </c>
      <c r="E47" s="790">
        <v>35699999</v>
      </c>
      <c r="F47" s="764" t="s">
        <v>1033</v>
      </c>
      <c r="G47" s="197">
        <v>159</v>
      </c>
      <c r="H47" s="197">
        <v>128</v>
      </c>
      <c r="I47" s="201" t="s">
        <v>1034</v>
      </c>
      <c r="J47" s="201" t="s">
        <v>1034</v>
      </c>
      <c r="K47" s="201" t="s">
        <v>1034</v>
      </c>
      <c r="L47" s="201" t="s">
        <v>1034</v>
      </c>
      <c r="M47" s="201" t="s">
        <v>1034</v>
      </c>
      <c r="N47" s="201" t="s">
        <v>1034</v>
      </c>
      <c r="O47" s="201" t="s">
        <v>1034</v>
      </c>
      <c r="P47" s="201" t="s">
        <v>1034</v>
      </c>
      <c r="Q47" s="201" t="s">
        <v>1034</v>
      </c>
      <c r="R47" s="201" t="s">
        <v>1034</v>
      </c>
      <c r="T47" s="199">
        <f t="shared" si="0"/>
        <v>143.5</v>
      </c>
      <c r="V47" s="208">
        <f t="shared" si="1"/>
        <v>14350</v>
      </c>
      <c r="W47" s="209" t="s">
        <v>523</v>
      </c>
      <c r="Y47" s="146"/>
      <c r="Z47" s="195"/>
      <c r="AA47" s="195"/>
      <c r="AB47" s="195"/>
      <c r="AC47" s="195"/>
    </row>
    <row r="48" spans="1:29" x14ac:dyDescent="0.15">
      <c r="A48" s="18" t="s">
        <v>116</v>
      </c>
      <c r="B48" s="18" t="s">
        <v>426</v>
      </c>
      <c r="C48" s="18" t="s">
        <v>426</v>
      </c>
      <c r="D48" s="18" t="s">
        <v>427</v>
      </c>
      <c r="E48" s="790">
        <v>35799999</v>
      </c>
      <c r="F48" s="764" t="s">
        <v>1033</v>
      </c>
      <c r="G48" s="197">
        <v>68</v>
      </c>
      <c r="H48" s="197">
        <v>60</v>
      </c>
      <c r="I48" s="201" t="s">
        <v>1034</v>
      </c>
      <c r="J48" s="201" t="s">
        <v>1034</v>
      </c>
      <c r="K48" s="201" t="s">
        <v>1034</v>
      </c>
      <c r="L48" s="201" t="s">
        <v>1034</v>
      </c>
      <c r="M48" s="201" t="s">
        <v>1034</v>
      </c>
      <c r="N48" s="201" t="s">
        <v>1034</v>
      </c>
      <c r="O48" s="201" t="s">
        <v>1034</v>
      </c>
      <c r="P48" s="201" t="s">
        <v>1034</v>
      </c>
      <c r="Q48" s="201" t="s">
        <v>1034</v>
      </c>
      <c r="R48" s="201" t="s">
        <v>1034</v>
      </c>
      <c r="T48" s="199">
        <f t="shared" si="0"/>
        <v>64</v>
      </c>
      <c r="V48" s="211">
        <f t="shared" si="1"/>
        <v>6400</v>
      </c>
      <c r="W48" s="212" t="s">
        <v>116</v>
      </c>
      <c r="Y48" s="146"/>
      <c r="Z48" s="195"/>
      <c r="AA48" s="195"/>
      <c r="AB48" s="195"/>
      <c r="AC48" s="195"/>
    </row>
    <row r="49" spans="1:29" x14ac:dyDescent="0.15">
      <c r="A49" s="18" t="s">
        <v>117</v>
      </c>
      <c r="B49" s="18" t="s">
        <v>426</v>
      </c>
      <c r="C49" s="18" t="s">
        <v>426</v>
      </c>
      <c r="D49" s="18" t="s">
        <v>427</v>
      </c>
      <c r="E49" s="790">
        <v>35899999</v>
      </c>
      <c r="F49" s="764" t="s">
        <v>1033</v>
      </c>
      <c r="G49" s="197">
        <v>437</v>
      </c>
      <c r="H49" s="197">
        <v>424</v>
      </c>
      <c r="I49" s="197">
        <v>429</v>
      </c>
      <c r="J49" s="197">
        <v>442</v>
      </c>
      <c r="K49" s="197">
        <v>495</v>
      </c>
      <c r="L49" s="197">
        <v>446</v>
      </c>
      <c r="M49" s="197">
        <v>446</v>
      </c>
      <c r="N49" s="197">
        <v>497</v>
      </c>
      <c r="O49" s="197">
        <v>489</v>
      </c>
      <c r="P49" s="197">
        <v>500</v>
      </c>
      <c r="Q49" s="197">
        <v>493</v>
      </c>
      <c r="R49" s="201" t="s">
        <v>1034</v>
      </c>
      <c r="T49" s="199">
        <f t="shared" si="0"/>
        <v>463.45454545454544</v>
      </c>
      <c r="V49" s="211">
        <f t="shared" si="1"/>
        <v>46345.454545454544</v>
      </c>
      <c r="W49" s="212" t="s">
        <v>547</v>
      </c>
      <c r="Y49" s="146"/>
      <c r="Z49" s="195"/>
      <c r="AA49" s="195"/>
      <c r="AB49" s="195"/>
      <c r="AC49" s="195"/>
    </row>
    <row r="50" spans="1:29" x14ac:dyDescent="0.15">
      <c r="A50" s="18" t="s">
        <v>440</v>
      </c>
      <c r="B50" s="18" t="s">
        <v>430</v>
      </c>
      <c r="C50" s="18" t="s">
        <v>431</v>
      </c>
      <c r="D50" s="18" t="s">
        <v>427</v>
      </c>
      <c r="E50" s="790">
        <v>36199999</v>
      </c>
      <c r="F50" s="764" t="s">
        <v>1035</v>
      </c>
      <c r="G50" s="197">
        <v>1.82</v>
      </c>
      <c r="H50" s="197">
        <v>1.79</v>
      </c>
      <c r="I50" s="197">
        <v>1.48</v>
      </c>
      <c r="J50" s="197">
        <v>2.1</v>
      </c>
      <c r="K50" s="197">
        <v>1.73</v>
      </c>
      <c r="L50" s="197">
        <v>1.63</v>
      </c>
      <c r="M50" s="197">
        <v>1.9</v>
      </c>
      <c r="N50" s="197">
        <v>2.02</v>
      </c>
      <c r="O50" s="197">
        <v>1.92</v>
      </c>
      <c r="P50" s="197">
        <v>2.19</v>
      </c>
      <c r="Q50" s="197">
        <v>1.91</v>
      </c>
      <c r="R50" s="201" t="s">
        <v>1034</v>
      </c>
      <c r="T50" s="199">
        <f t="shared" si="0"/>
        <v>1.862727272727273</v>
      </c>
      <c r="V50" s="211">
        <f>T50*2000</f>
        <v>3725.454545454546</v>
      </c>
      <c r="W50" s="212" t="s">
        <v>530</v>
      </c>
      <c r="Y50" s="146"/>
      <c r="Z50" s="195"/>
      <c r="AA50" s="195"/>
      <c r="AB50" s="195"/>
      <c r="AC50" s="195"/>
    </row>
    <row r="51" spans="1:29" x14ac:dyDescent="0.15">
      <c r="A51" s="18" t="s">
        <v>440</v>
      </c>
      <c r="B51" s="18" t="s">
        <v>430</v>
      </c>
      <c r="C51" s="18" t="s">
        <v>432</v>
      </c>
      <c r="D51" s="18" t="s">
        <v>427</v>
      </c>
      <c r="E51" s="790">
        <v>36199999</v>
      </c>
      <c r="F51" s="764" t="s">
        <v>1035</v>
      </c>
      <c r="G51" s="197">
        <v>1.99</v>
      </c>
      <c r="H51" s="197">
        <v>1.88</v>
      </c>
      <c r="I51" s="197">
        <v>1.78</v>
      </c>
      <c r="J51" s="197">
        <v>1.96</v>
      </c>
      <c r="K51" s="197">
        <v>1.99</v>
      </c>
      <c r="L51" s="197">
        <v>1.85</v>
      </c>
      <c r="M51" s="197">
        <v>2.08</v>
      </c>
      <c r="N51" s="197">
        <v>2.11</v>
      </c>
      <c r="O51" s="197">
        <v>1.99</v>
      </c>
      <c r="P51" s="197">
        <v>2.12</v>
      </c>
      <c r="Q51" s="197">
        <v>2.13</v>
      </c>
      <c r="R51" s="201" t="s">
        <v>1034</v>
      </c>
      <c r="T51" s="199">
        <f t="shared" si="0"/>
        <v>1.989090909090909</v>
      </c>
      <c r="V51" s="211">
        <f>T51*2000</f>
        <v>3978.181818181818</v>
      </c>
      <c r="W51" s="212" t="s">
        <v>531</v>
      </c>
      <c r="Y51" s="146"/>
      <c r="Z51" s="195"/>
      <c r="AA51" s="195"/>
      <c r="AB51" s="195"/>
      <c r="AC51" s="195"/>
    </row>
    <row r="52" spans="1:29" x14ac:dyDescent="0.15">
      <c r="A52" s="18" t="s">
        <v>441</v>
      </c>
      <c r="B52" s="18" t="s">
        <v>426</v>
      </c>
      <c r="C52" s="18" t="s">
        <v>426</v>
      </c>
      <c r="D52" s="18" t="s">
        <v>427</v>
      </c>
      <c r="E52" s="790">
        <v>36399999</v>
      </c>
      <c r="F52" s="764" t="s">
        <v>1033</v>
      </c>
      <c r="G52" s="197">
        <v>272</v>
      </c>
      <c r="H52" s="197">
        <v>285</v>
      </c>
      <c r="I52" s="197">
        <v>291</v>
      </c>
      <c r="J52" s="197">
        <v>302</v>
      </c>
      <c r="K52" s="197">
        <v>310</v>
      </c>
      <c r="L52" s="197">
        <v>282</v>
      </c>
      <c r="M52" s="197">
        <v>296</v>
      </c>
      <c r="N52" s="197">
        <v>298</v>
      </c>
      <c r="O52" s="197">
        <v>312</v>
      </c>
      <c r="P52" s="197">
        <v>329</v>
      </c>
      <c r="Q52" s="197">
        <v>299</v>
      </c>
      <c r="R52" s="201" t="s">
        <v>1034</v>
      </c>
      <c r="T52" s="199">
        <f t="shared" si="0"/>
        <v>297.81818181818181</v>
      </c>
      <c r="V52" s="211">
        <f>T52*100</f>
        <v>29781.81818181818</v>
      </c>
      <c r="W52" s="212" t="s">
        <v>537</v>
      </c>
      <c r="Y52" s="146"/>
      <c r="Z52" s="195"/>
      <c r="AA52" s="195"/>
      <c r="AB52" s="195"/>
      <c r="AC52" s="195"/>
    </row>
    <row r="53" spans="1:29" x14ac:dyDescent="0.15">
      <c r="A53" s="18" t="s">
        <v>442</v>
      </c>
      <c r="B53" s="18" t="s">
        <v>426</v>
      </c>
      <c r="C53" s="18" t="s">
        <v>426</v>
      </c>
      <c r="D53" s="18" t="s">
        <v>427</v>
      </c>
      <c r="E53" s="790">
        <v>36699999</v>
      </c>
      <c r="F53" s="764" t="s">
        <v>1033</v>
      </c>
      <c r="G53" s="197">
        <v>252</v>
      </c>
      <c r="H53" s="197">
        <v>224</v>
      </c>
      <c r="I53" s="197">
        <v>208</v>
      </c>
      <c r="J53" s="197">
        <v>206</v>
      </c>
      <c r="K53" s="197">
        <v>225</v>
      </c>
      <c r="L53" s="197">
        <v>246</v>
      </c>
      <c r="M53" s="197">
        <v>240</v>
      </c>
      <c r="N53" s="197">
        <v>250</v>
      </c>
      <c r="O53" s="197">
        <v>246</v>
      </c>
      <c r="P53" s="197">
        <v>211</v>
      </c>
      <c r="Q53" s="197">
        <v>219</v>
      </c>
      <c r="R53" s="201" t="s">
        <v>1034</v>
      </c>
      <c r="T53" s="199">
        <f t="shared" si="0"/>
        <v>229.72727272727272</v>
      </c>
      <c r="V53" s="208">
        <f>T53*100</f>
        <v>22972.727272727272</v>
      </c>
      <c r="W53" s="209" t="s">
        <v>90</v>
      </c>
      <c r="Y53" s="146"/>
      <c r="Z53" s="195"/>
      <c r="AA53" s="195"/>
      <c r="AB53" s="195"/>
      <c r="AC53" s="195"/>
    </row>
    <row r="54" spans="1:29" x14ac:dyDescent="0.15">
      <c r="A54" s="18" t="s">
        <v>118</v>
      </c>
      <c r="B54" s="18" t="s">
        <v>426</v>
      </c>
      <c r="C54" s="18" t="s">
        <v>426</v>
      </c>
      <c r="D54" s="18" t="s">
        <v>427</v>
      </c>
      <c r="E54" s="790">
        <v>36799999</v>
      </c>
      <c r="F54" s="764" t="s">
        <v>1033</v>
      </c>
      <c r="G54" s="197">
        <v>90</v>
      </c>
      <c r="H54" s="197">
        <v>92</v>
      </c>
      <c r="I54" s="201" t="s">
        <v>1034</v>
      </c>
      <c r="J54" s="201" t="s">
        <v>1034</v>
      </c>
      <c r="K54" s="201" t="s">
        <v>1034</v>
      </c>
      <c r="L54" s="201" t="s">
        <v>1034</v>
      </c>
      <c r="M54" s="201" t="s">
        <v>1034</v>
      </c>
      <c r="N54" s="201" t="s">
        <v>1034</v>
      </c>
      <c r="O54" s="201" t="s">
        <v>1034</v>
      </c>
      <c r="P54" s="201" t="s">
        <v>1034</v>
      </c>
      <c r="Q54" s="201" t="s">
        <v>1034</v>
      </c>
      <c r="R54" s="201" t="s">
        <v>1034</v>
      </c>
      <c r="T54" s="199">
        <f t="shared" si="0"/>
        <v>91</v>
      </c>
      <c r="V54" s="211">
        <f>T54*100</f>
        <v>9100</v>
      </c>
      <c r="W54" s="212" t="s">
        <v>548</v>
      </c>
      <c r="Y54" s="146"/>
      <c r="Z54" s="195"/>
      <c r="AA54" s="195"/>
      <c r="AB54" s="195"/>
      <c r="AC54" s="195"/>
    </row>
    <row r="55" spans="1:29" x14ac:dyDescent="0.15">
      <c r="A55" s="18" t="s">
        <v>86</v>
      </c>
      <c r="B55" s="18" t="s">
        <v>429</v>
      </c>
      <c r="C55" s="18" t="s">
        <v>426</v>
      </c>
      <c r="D55" s="18" t="s">
        <v>427</v>
      </c>
      <c r="E55" s="790">
        <v>37499999</v>
      </c>
      <c r="F55" s="764" t="s">
        <v>1033</v>
      </c>
      <c r="G55" s="197">
        <v>146</v>
      </c>
      <c r="H55" s="197">
        <v>131</v>
      </c>
      <c r="I55" s="197">
        <v>146</v>
      </c>
      <c r="J55" s="197">
        <v>150</v>
      </c>
      <c r="K55" s="197">
        <v>157</v>
      </c>
      <c r="L55" s="197">
        <v>167</v>
      </c>
      <c r="M55" s="197">
        <v>166</v>
      </c>
      <c r="N55" s="197">
        <v>159</v>
      </c>
      <c r="O55" s="197">
        <v>160</v>
      </c>
      <c r="P55" s="197">
        <v>186</v>
      </c>
      <c r="Q55" s="197">
        <v>158</v>
      </c>
      <c r="R55" s="201" t="s">
        <v>1034</v>
      </c>
      <c r="T55" s="199">
        <f t="shared" si="0"/>
        <v>156.90909090909091</v>
      </c>
      <c r="V55" s="208">
        <f>T55*100</f>
        <v>15690.90909090909</v>
      </c>
      <c r="W55" s="209" t="s">
        <v>525</v>
      </c>
      <c r="Y55" s="146"/>
      <c r="Z55" s="195"/>
      <c r="AA55" s="195"/>
      <c r="AB55" s="195"/>
      <c r="AC55" s="195"/>
    </row>
    <row r="56" spans="1:29" x14ac:dyDescent="0.15">
      <c r="A56" s="18" t="s">
        <v>86</v>
      </c>
      <c r="B56" s="18" t="s">
        <v>430</v>
      </c>
      <c r="C56" s="18" t="s">
        <v>432</v>
      </c>
      <c r="D56" s="18" t="s">
        <v>427</v>
      </c>
      <c r="E56" s="790">
        <v>37499999</v>
      </c>
      <c r="F56" s="764" t="s">
        <v>1035</v>
      </c>
      <c r="G56" s="197">
        <v>9.4499999999999993</v>
      </c>
      <c r="H56" s="197">
        <v>9.01</v>
      </c>
      <c r="I56" s="197">
        <v>9.81</v>
      </c>
      <c r="J56" s="197">
        <v>8.43</v>
      </c>
      <c r="K56" s="197">
        <v>10.38</v>
      </c>
      <c r="L56" s="197">
        <v>10.52</v>
      </c>
      <c r="M56" s="197">
        <v>7.43</v>
      </c>
      <c r="N56" s="197">
        <v>7.77</v>
      </c>
      <c r="O56" s="197">
        <v>9.5299999999999994</v>
      </c>
      <c r="P56" s="197">
        <v>8.8699999999999992</v>
      </c>
      <c r="Q56" s="197">
        <v>7.32</v>
      </c>
      <c r="R56" s="201" t="s">
        <v>1034</v>
      </c>
      <c r="T56" s="199">
        <f t="shared" ref="T56:T60" si="2">AVERAGE(G56:R56)</f>
        <v>8.956363636363637</v>
      </c>
      <c r="V56" s="208">
        <f>T56*2000</f>
        <v>17912.727272727276</v>
      </c>
      <c r="W56" s="209" t="s">
        <v>524</v>
      </c>
      <c r="Y56" s="146"/>
      <c r="Z56" s="195"/>
      <c r="AA56" s="195"/>
      <c r="AB56" s="195"/>
      <c r="AC56" s="195"/>
    </row>
    <row r="57" spans="1:29" x14ac:dyDescent="0.15">
      <c r="A57" s="18" t="s">
        <v>443</v>
      </c>
      <c r="B57" s="18" t="s">
        <v>426</v>
      </c>
      <c r="C57" s="18" t="s">
        <v>426</v>
      </c>
      <c r="D57" s="18" t="s">
        <v>427</v>
      </c>
      <c r="E57" s="790">
        <v>37599999</v>
      </c>
      <c r="F57" s="764" t="s">
        <v>1033</v>
      </c>
      <c r="G57" s="197">
        <v>164</v>
      </c>
      <c r="H57" s="197">
        <v>152</v>
      </c>
      <c r="I57" s="197">
        <v>168</v>
      </c>
      <c r="J57" s="197">
        <v>151</v>
      </c>
      <c r="K57" s="197">
        <v>146</v>
      </c>
      <c r="L57" s="197">
        <v>154</v>
      </c>
      <c r="M57" s="197">
        <v>165</v>
      </c>
      <c r="N57" s="197">
        <v>151</v>
      </c>
      <c r="O57" s="197">
        <v>158</v>
      </c>
      <c r="P57" s="197">
        <v>164</v>
      </c>
      <c r="Q57" s="197">
        <v>150</v>
      </c>
      <c r="R57" s="201" t="s">
        <v>1034</v>
      </c>
      <c r="T57" s="199">
        <f t="shared" si="2"/>
        <v>156.63636363636363</v>
      </c>
      <c r="V57" s="208">
        <f>T57*100</f>
        <v>15663.636363636362</v>
      </c>
      <c r="W57" s="209" t="s">
        <v>529</v>
      </c>
      <c r="Y57" s="146"/>
      <c r="Z57" s="195"/>
      <c r="AA57" s="195"/>
      <c r="AB57" s="195"/>
      <c r="AC57" s="195"/>
    </row>
    <row r="58" spans="1:29" x14ac:dyDescent="0.15">
      <c r="A58" s="18" t="s">
        <v>121</v>
      </c>
      <c r="B58" s="18" t="s">
        <v>429</v>
      </c>
      <c r="C58" s="18" t="s">
        <v>426</v>
      </c>
      <c r="D58" s="18" t="s">
        <v>427</v>
      </c>
      <c r="E58" s="790">
        <v>37899999</v>
      </c>
      <c r="F58" s="764" t="s">
        <v>1033</v>
      </c>
      <c r="G58" s="197">
        <v>307</v>
      </c>
      <c r="H58" s="197">
        <v>288</v>
      </c>
      <c r="I58" s="197">
        <v>307</v>
      </c>
      <c r="J58" s="197">
        <v>295</v>
      </c>
      <c r="K58" s="197">
        <v>296</v>
      </c>
      <c r="L58" s="197">
        <v>307</v>
      </c>
      <c r="M58" s="197">
        <v>302</v>
      </c>
      <c r="N58" s="197">
        <v>311</v>
      </c>
      <c r="O58" s="197">
        <v>296</v>
      </c>
      <c r="P58" s="197">
        <v>306</v>
      </c>
      <c r="Q58" s="197">
        <v>277</v>
      </c>
      <c r="R58" s="201" t="s">
        <v>1034</v>
      </c>
      <c r="T58" s="199">
        <f t="shared" si="2"/>
        <v>299.27272727272725</v>
      </c>
      <c r="V58" s="211">
        <f>T58*100</f>
        <v>29927.272727272724</v>
      </c>
      <c r="W58" s="212" t="s">
        <v>552</v>
      </c>
      <c r="Y58" s="146"/>
      <c r="Z58" s="195"/>
      <c r="AA58" s="195"/>
      <c r="AB58" s="195"/>
      <c r="AC58" s="195"/>
    </row>
    <row r="59" spans="1:29" x14ac:dyDescent="0.15">
      <c r="A59" s="18" t="s">
        <v>121</v>
      </c>
      <c r="B59" s="18" t="s">
        <v>430</v>
      </c>
      <c r="C59" s="18" t="s">
        <v>426</v>
      </c>
      <c r="D59" s="18" t="s">
        <v>427</v>
      </c>
      <c r="E59" s="790">
        <v>37899999</v>
      </c>
      <c r="F59" s="764" t="s">
        <v>1035</v>
      </c>
      <c r="G59" s="197">
        <v>37.49</v>
      </c>
      <c r="H59" s="197">
        <v>33.65</v>
      </c>
      <c r="I59" s="197">
        <v>37.380000000000003</v>
      </c>
      <c r="J59" s="197">
        <v>33.409999999999997</v>
      </c>
      <c r="K59" s="197">
        <v>40.799999999999997</v>
      </c>
      <c r="L59" s="197">
        <v>36.15</v>
      </c>
      <c r="M59" s="197">
        <v>35.44</v>
      </c>
      <c r="N59" s="197">
        <v>40.369999999999997</v>
      </c>
      <c r="O59" s="197">
        <v>41.5</v>
      </c>
      <c r="P59" s="197">
        <v>42.62</v>
      </c>
      <c r="Q59" s="197">
        <v>44.22</v>
      </c>
      <c r="R59" s="201" t="s">
        <v>1034</v>
      </c>
      <c r="T59" s="199">
        <f t="shared" si="2"/>
        <v>38.457272727272724</v>
      </c>
      <c r="V59" s="211">
        <f>T59*2000</f>
        <v>76914.545454545441</v>
      </c>
      <c r="W59" s="212" t="s">
        <v>553</v>
      </c>
      <c r="Y59" s="146"/>
      <c r="Z59" s="195"/>
      <c r="AA59" s="195"/>
      <c r="AB59" s="195"/>
      <c r="AC59" s="195"/>
    </row>
    <row r="60" spans="1:29" x14ac:dyDescent="0.15">
      <c r="A60" s="18" t="s">
        <v>444</v>
      </c>
      <c r="B60" s="18" t="s">
        <v>426</v>
      </c>
      <c r="C60" s="18" t="s">
        <v>426</v>
      </c>
      <c r="D60" s="18" t="s">
        <v>427</v>
      </c>
      <c r="E60" s="790">
        <v>38199999</v>
      </c>
      <c r="F60" s="764" t="s">
        <v>1033</v>
      </c>
      <c r="G60" s="197">
        <v>132</v>
      </c>
      <c r="H60" s="197">
        <v>107</v>
      </c>
      <c r="I60" s="201" t="s">
        <v>1034</v>
      </c>
      <c r="J60" s="201" t="s">
        <v>1034</v>
      </c>
      <c r="K60" s="201" t="s">
        <v>1034</v>
      </c>
      <c r="L60" s="201" t="s">
        <v>1034</v>
      </c>
      <c r="M60" s="201" t="s">
        <v>1034</v>
      </c>
      <c r="N60" s="201" t="s">
        <v>1034</v>
      </c>
      <c r="O60" s="201" t="s">
        <v>1034</v>
      </c>
      <c r="P60" s="201" t="s">
        <v>1034</v>
      </c>
      <c r="Q60" s="201" t="s">
        <v>1034</v>
      </c>
      <c r="R60" s="201" t="s">
        <v>1034</v>
      </c>
      <c r="T60" s="199">
        <f t="shared" si="2"/>
        <v>119.5</v>
      </c>
      <c r="V60" s="208">
        <f>T60*100</f>
        <v>11950</v>
      </c>
      <c r="W60" s="209" t="s">
        <v>526</v>
      </c>
      <c r="Y60" s="146"/>
      <c r="Z60" s="195"/>
      <c r="AA60" s="195"/>
      <c r="AB60" s="195"/>
      <c r="AC60" s="195"/>
    </row>
    <row r="61" spans="1:29" x14ac:dyDescent="0.15">
      <c r="A61" s="18"/>
      <c r="B61" s="18"/>
      <c r="C61" s="18"/>
      <c r="D61" s="18"/>
      <c r="E61" s="790"/>
      <c r="F61" s="764"/>
      <c r="I61" s="202"/>
      <c r="J61" s="202"/>
      <c r="K61" s="202"/>
      <c r="L61" s="202"/>
      <c r="M61" s="202"/>
      <c r="N61" s="202"/>
      <c r="O61" s="202"/>
      <c r="P61" s="202"/>
      <c r="Q61" s="202"/>
      <c r="R61" s="202"/>
      <c r="V61" s="208"/>
      <c r="W61" s="209"/>
      <c r="Y61" s="146"/>
      <c r="Z61" s="195"/>
      <c r="AA61" s="195"/>
      <c r="AB61" s="195"/>
      <c r="AC61" s="195"/>
    </row>
    <row r="62" spans="1:29" ht="15" x14ac:dyDescent="0.15">
      <c r="A62" s="791" t="s">
        <v>1329</v>
      </c>
      <c r="B62" s="315"/>
      <c r="C62" s="315"/>
      <c r="D62" s="207"/>
      <c r="E62" s="207"/>
      <c r="F62" s="764"/>
      <c r="Y62" s="146"/>
      <c r="Z62" s="195"/>
      <c r="AA62" s="195"/>
      <c r="AB62" s="195"/>
      <c r="AC62" s="195"/>
    </row>
    <row r="63" spans="1:29" x14ac:dyDescent="0.15">
      <c r="A63" s="151" t="s">
        <v>92</v>
      </c>
      <c r="B63" s="315"/>
      <c r="C63" s="315"/>
      <c r="D63" s="207"/>
      <c r="E63" s="207"/>
      <c r="F63" s="764" t="s">
        <v>1033</v>
      </c>
      <c r="G63" s="201" t="s">
        <v>567</v>
      </c>
      <c r="H63" s="197">
        <v>145</v>
      </c>
      <c r="I63" s="197">
        <v>155</v>
      </c>
      <c r="J63" s="197">
        <v>156</v>
      </c>
      <c r="K63" s="197">
        <v>156</v>
      </c>
      <c r="L63" s="197">
        <v>172</v>
      </c>
      <c r="M63" s="197">
        <v>174</v>
      </c>
      <c r="N63" s="197">
        <v>178</v>
      </c>
      <c r="O63" s="197">
        <v>188</v>
      </c>
      <c r="P63" s="197">
        <v>186</v>
      </c>
      <c r="Q63" s="197">
        <v>189</v>
      </c>
      <c r="R63" s="201" t="s">
        <v>567</v>
      </c>
      <c r="T63" s="199">
        <f>AVERAGE(G63:R63)</f>
        <v>169.9</v>
      </c>
      <c r="V63" s="211">
        <f>T63*100</f>
        <v>16990</v>
      </c>
      <c r="W63" s="213" t="s">
        <v>566</v>
      </c>
      <c r="Y63" s="146"/>
      <c r="Z63" s="195"/>
      <c r="AA63" s="195"/>
      <c r="AB63" s="195"/>
      <c r="AC63" s="195"/>
    </row>
    <row r="64" spans="1:29" x14ac:dyDescent="0.15">
      <c r="A64" s="315" t="s">
        <v>568</v>
      </c>
      <c r="B64" s="315"/>
      <c r="C64" s="315"/>
      <c r="D64" s="315"/>
      <c r="E64" s="315"/>
      <c r="F64" s="764" t="s">
        <v>1036</v>
      </c>
      <c r="G64" s="197">
        <v>10.4</v>
      </c>
      <c r="H64" s="197">
        <v>9.43</v>
      </c>
      <c r="I64" s="197">
        <v>11.4</v>
      </c>
      <c r="J64" s="197">
        <v>8.7100000000000009</v>
      </c>
      <c r="K64" s="197">
        <v>8.35</v>
      </c>
      <c r="L64" s="197">
        <v>9.52</v>
      </c>
      <c r="M64" s="197">
        <v>7.83</v>
      </c>
      <c r="N64" s="197">
        <v>9.48</v>
      </c>
      <c r="O64" s="197">
        <v>11.4</v>
      </c>
      <c r="P64" s="197">
        <v>8.92</v>
      </c>
      <c r="Q64" s="197">
        <v>9.9</v>
      </c>
      <c r="R64" s="201" t="s">
        <v>567</v>
      </c>
      <c r="T64" s="199">
        <f>AVERAGE(G64:Q64)</f>
        <v>9.576363636363638</v>
      </c>
      <c r="V64" s="211">
        <f>T64*2000</f>
        <v>19152.727272727276</v>
      </c>
      <c r="W64" s="212" t="s">
        <v>154</v>
      </c>
      <c r="Y64" s="146"/>
      <c r="Z64" s="195"/>
      <c r="AA64" s="195"/>
      <c r="AB64" s="195"/>
      <c r="AC64" s="195"/>
    </row>
    <row r="65" spans="1:29" x14ac:dyDescent="0.15">
      <c r="A65" s="315"/>
      <c r="B65" s="315"/>
      <c r="C65" s="315"/>
      <c r="D65" s="315"/>
      <c r="E65" s="315"/>
      <c r="F65" s="764"/>
      <c r="Y65" s="146"/>
      <c r="Z65" s="195"/>
      <c r="AA65" s="195"/>
      <c r="AB65" s="195"/>
      <c r="AC65" s="195"/>
    </row>
    <row r="66" spans="1:29" s="195" customFormat="1" ht="15" x14ac:dyDescent="0.15">
      <c r="A66" s="117" t="s">
        <v>1300</v>
      </c>
      <c r="B66" s="309"/>
      <c r="C66" s="309"/>
      <c r="D66" s="309"/>
      <c r="E66" s="309"/>
      <c r="F66" s="787"/>
      <c r="G66" s="202"/>
      <c r="H66" s="202"/>
      <c r="I66" s="202"/>
      <c r="J66" s="202"/>
      <c r="K66" s="202"/>
      <c r="L66" s="202"/>
      <c r="M66" s="202"/>
      <c r="N66" s="202"/>
      <c r="O66" s="202"/>
      <c r="P66" s="202"/>
      <c r="Q66" s="202"/>
      <c r="R66" s="202"/>
      <c r="T66" s="317"/>
      <c r="V66" s="214"/>
      <c r="X66" s="216"/>
      <c r="Y66" s="729"/>
    </row>
    <row r="67" spans="1:29" x14ac:dyDescent="0.15">
      <c r="A67" s="18" t="s">
        <v>130</v>
      </c>
      <c r="B67" s="315"/>
      <c r="C67" s="315"/>
      <c r="D67" s="315"/>
      <c r="E67" s="315"/>
      <c r="F67" s="764" t="s">
        <v>1037</v>
      </c>
      <c r="G67" s="201" t="s">
        <v>567</v>
      </c>
      <c r="H67" s="201" t="s">
        <v>567</v>
      </c>
      <c r="I67" s="197">
        <v>10.8</v>
      </c>
      <c r="J67" s="197">
        <v>11.3</v>
      </c>
      <c r="K67" s="197">
        <v>13.7</v>
      </c>
      <c r="L67" s="197">
        <v>13.1</v>
      </c>
      <c r="M67" s="197">
        <v>13.7</v>
      </c>
      <c r="N67" s="197">
        <v>13</v>
      </c>
      <c r="O67" s="197">
        <v>13.8</v>
      </c>
      <c r="P67" s="197">
        <v>14</v>
      </c>
      <c r="Q67" s="197">
        <v>13.5</v>
      </c>
      <c r="R67" s="201" t="s">
        <v>567</v>
      </c>
      <c r="T67" s="199">
        <f>AVERAGE(G67:R67)</f>
        <v>12.988888888888887</v>
      </c>
      <c r="V67" s="211">
        <f>T67*2000</f>
        <v>25977.777777777774</v>
      </c>
      <c r="W67" s="213" t="s">
        <v>130</v>
      </c>
      <c r="Y67" s="146"/>
      <c r="Z67" s="195"/>
      <c r="AA67" s="195"/>
      <c r="AB67" s="195"/>
      <c r="AC67" s="195"/>
    </row>
    <row r="68" spans="1:29" x14ac:dyDescent="0.15">
      <c r="A68" s="18" t="s">
        <v>132</v>
      </c>
      <c r="B68" s="315"/>
      <c r="C68" s="315"/>
      <c r="D68" s="315"/>
      <c r="E68" s="315"/>
      <c r="F68" s="764" t="s">
        <v>1037</v>
      </c>
      <c r="G68" s="201" t="s">
        <v>567</v>
      </c>
      <c r="H68" s="201" t="s">
        <v>567</v>
      </c>
      <c r="I68" s="197">
        <v>5.19</v>
      </c>
      <c r="J68" s="197">
        <v>5.9</v>
      </c>
      <c r="K68" s="197">
        <v>6.81</v>
      </c>
      <c r="L68" s="197">
        <v>5.86</v>
      </c>
      <c r="M68" s="197">
        <v>3.41</v>
      </c>
      <c r="N68" s="197">
        <v>6.99</v>
      </c>
      <c r="O68" s="197">
        <v>6.56</v>
      </c>
      <c r="P68" s="197">
        <v>5.56</v>
      </c>
      <c r="Q68" s="197">
        <v>5.38</v>
      </c>
      <c r="R68" s="201" t="s">
        <v>567</v>
      </c>
      <c r="T68" s="199">
        <f>AVERAGE(G68:R68)</f>
        <v>5.74</v>
      </c>
      <c r="V68" s="211">
        <f>T68*2000</f>
        <v>11480</v>
      </c>
      <c r="W68" s="213" t="s">
        <v>132</v>
      </c>
      <c r="Y68" s="146"/>
      <c r="Z68" s="195"/>
      <c r="AA68" s="195"/>
      <c r="AB68" s="195"/>
      <c r="AC68" s="195"/>
    </row>
    <row r="69" spans="1:29" x14ac:dyDescent="0.15">
      <c r="A69" s="18" t="s">
        <v>133</v>
      </c>
      <c r="B69" s="315"/>
      <c r="C69" s="315"/>
      <c r="D69" s="315"/>
      <c r="E69" s="315"/>
      <c r="F69" s="764" t="s">
        <v>1037</v>
      </c>
      <c r="G69" s="201" t="s">
        <v>567</v>
      </c>
      <c r="H69" s="201" t="s">
        <v>567</v>
      </c>
      <c r="I69" s="197">
        <v>3.04</v>
      </c>
      <c r="J69" s="197">
        <v>3.49</v>
      </c>
      <c r="K69" s="197">
        <v>2.61</v>
      </c>
      <c r="L69" s="197">
        <v>4.6100000000000003</v>
      </c>
      <c r="M69" s="197">
        <v>2.04</v>
      </c>
      <c r="N69" s="197">
        <v>2.56</v>
      </c>
      <c r="O69" s="197">
        <v>1.59</v>
      </c>
      <c r="P69" s="197">
        <v>4.5</v>
      </c>
      <c r="Q69" s="197">
        <v>2.4900000000000002</v>
      </c>
      <c r="R69" s="201" t="s">
        <v>567</v>
      </c>
      <c r="T69" s="199">
        <f>AVERAGE(G69:R69)</f>
        <v>2.9922222222222223</v>
      </c>
      <c r="V69" s="211">
        <f>T69*2000</f>
        <v>5984.4444444444443</v>
      </c>
      <c r="W69" s="213" t="s">
        <v>556</v>
      </c>
      <c r="Y69" s="146"/>
      <c r="Z69" s="195"/>
      <c r="AA69" s="195"/>
      <c r="AB69" s="195"/>
      <c r="AC69" s="195"/>
    </row>
    <row r="70" spans="1:29" x14ac:dyDescent="0.15">
      <c r="A70" s="18" t="s">
        <v>1301</v>
      </c>
      <c r="B70" s="315"/>
      <c r="C70" s="315"/>
      <c r="D70" s="315"/>
      <c r="E70" s="315"/>
      <c r="F70" s="764" t="s">
        <v>1037</v>
      </c>
      <c r="G70" s="201" t="s">
        <v>567</v>
      </c>
      <c r="H70" s="201" t="s">
        <v>567</v>
      </c>
      <c r="I70" s="197">
        <v>7.5</v>
      </c>
      <c r="J70" s="197">
        <v>8.35</v>
      </c>
      <c r="K70" s="197">
        <v>8.25</v>
      </c>
      <c r="L70" s="197">
        <v>10.7</v>
      </c>
      <c r="M70" s="197">
        <v>10</v>
      </c>
      <c r="N70" s="197">
        <v>9.85</v>
      </c>
      <c r="O70" s="197">
        <v>7.9</v>
      </c>
      <c r="P70" s="197">
        <v>8.4</v>
      </c>
      <c r="Q70" s="197">
        <v>8.1</v>
      </c>
      <c r="R70" s="201" t="s">
        <v>567</v>
      </c>
      <c r="T70" s="199">
        <f>AVERAGE(G70:R70)</f>
        <v>8.7833333333333332</v>
      </c>
      <c r="V70" s="211">
        <f>T70*2000</f>
        <v>17566.666666666668</v>
      </c>
      <c r="W70" s="213" t="s">
        <v>557</v>
      </c>
      <c r="Y70" s="146"/>
      <c r="Z70" s="195"/>
      <c r="AA70" s="195"/>
      <c r="AB70" s="195"/>
      <c r="AC70" s="195"/>
    </row>
    <row r="71" spans="1:29" x14ac:dyDescent="0.15">
      <c r="A71" s="18" t="s">
        <v>1302</v>
      </c>
      <c r="B71" s="315"/>
      <c r="C71" s="315"/>
      <c r="D71" s="315"/>
      <c r="E71" s="315"/>
      <c r="F71" s="764" t="s">
        <v>1037</v>
      </c>
      <c r="G71" s="201" t="s">
        <v>567</v>
      </c>
      <c r="H71" s="201" t="s">
        <v>567</v>
      </c>
      <c r="I71" s="197">
        <v>3.6</v>
      </c>
      <c r="J71" s="197">
        <v>3.26</v>
      </c>
      <c r="K71" s="197">
        <v>3.8</v>
      </c>
      <c r="L71" s="197">
        <v>3.73</v>
      </c>
      <c r="M71" s="197">
        <v>3.07</v>
      </c>
      <c r="N71" s="197">
        <v>4.4000000000000004</v>
      </c>
      <c r="O71" s="197">
        <v>3.37</v>
      </c>
      <c r="P71" s="197">
        <v>3.87</v>
      </c>
      <c r="Q71" s="197">
        <v>2.91</v>
      </c>
      <c r="R71" s="201" t="s">
        <v>567</v>
      </c>
      <c r="T71" s="199">
        <f>AVERAGE(G71:R71)</f>
        <v>3.5566666666666671</v>
      </c>
      <c r="V71" s="211">
        <f>T71*2000</f>
        <v>7113.3333333333339</v>
      </c>
      <c r="W71" s="213" t="s">
        <v>135</v>
      </c>
      <c r="Y71" s="146"/>
      <c r="Z71" s="195"/>
      <c r="AA71" s="195"/>
      <c r="AB71" s="195"/>
      <c r="AC71" s="195"/>
    </row>
    <row r="72" spans="1:29" x14ac:dyDescent="0.15">
      <c r="A72" s="18" t="s">
        <v>136</v>
      </c>
      <c r="B72" s="315"/>
      <c r="C72" s="315"/>
      <c r="D72" s="315"/>
      <c r="E72" s="315"/>
      <c r="F72" s="764" t="s">
        <v>1037</v>
      </c>
      <c r="G72" s="197" t="s">
        <v>567</v>
      </c>
      <c r="H72" s="197" t="s">
        <v>567</v>
      </c>
      <c r="R72" s="202" t="s">
        <v>567</v>
      </c>
      <c r="Y72" s="146"/>
      <c r="Z72" s="195"/>
      <c r="AA72" s="195"/>
      <c r="AB72" s="195"/>
      <c r="AC72" s="195"/>
    </row>
    <row r="73" spans="1:29" x14ac:dyDescent="0.15">
      <c r="A73" s="18" t="s">
        <v>1303</v>
      </c>
      <c r="B73" s="315"/>
      <c r="C73" s="315"/>
      <c r="D73" s="315"/>
      <c r="E73" s="315"/>
      <c r="F73" s="764" t="s">
        <v>1037</v>
      </c>
      <c r="G73" s="201" t="s">
        <v>567</v>
      </c>
      <c r="H73" s="201" t="s">
        <v>567</v>
      </c>
      <c r="I73" s="197">
        <v>2.2599999999999998</v>
      </c>
      <c r="J73" s="197">
        <v>2.2400000000000002</v>
      </c>
      <c r="K73" s="197">
        <v>2.54</v>
      </c>
      <c r="L73" s="197">
        <v>2.4300000000000002</v>
      </c>
      <c r="M73" s="197">
        <v>2.61</v>
      </c>
      <c r="N73" s="197">
        <v>2.69</v>
      </c>
      <c r="O73" s="197">
        <v>2.9</v>
      </c>
      <c r="P73" s="197">
        <v>2.86</v>
      </c>
      <c r="Q73" s="197">
        <v>2.95</v>
      </c>
      <c r="R73" s="201" t="s">
        <v>567</v>
      </c>
      <c r="T73" s="199">
        <f t="shared" ref="T73:T93" si="3">AVERAGE(G73:R73)</f>
        <v>2.6088888888888886</v>
      </c>
      <c r="V73" s="211">
        <f>T73*2000</f>
        <v>5217.7777777777774</v>
      </c>
      <c r="W73" s="213" t="s">
        <v>136</v>
      </c>
      <c r="Y73" s="146"/>
      <c r="Z73" s="195"/>
      <c r="AA73" s="195"/>
      <c r="AB73" s="195"/>
      <c r="AC73" s="195"/>
    </row>
    <row r="74" spans="1:29" x14ac:dyDescent="0.15">
      <c r="A74" s="18" t="s">
        <v>563</v>
      </c>
      <c r="B74" s="315"/>
      <c r="C74" s="315"/>
      <c r="D74" s="315"/>
      <c r="E74" s="315"/>
      <c r="F74" s="764" t="s">
        <v>1037</v>
      </c>
      <c r="G74" s="197" t="s">
        <v>567</v>
      </c>
      <c r="H74" s="197" t="s">
        <v>567</v>
      </c>
      <c r="R74" s="202" t="s">
        <v>567</v>
      </c>
      <c r="V74" s="214"/>
      <c r="Y74" s="146"/>
      <c r="Z74" s="195"/>
      <c r="AA74" s="195"/>
      <c r="AB74" s="195"/>
      <c r="AC74" s="195"/>
    </row>
    <row r="75" spans="1:29" x14ac:dyDescent="0.15">
      <c r="A75" s="18" t="s">
        <v>445</v>
      </c>
      <c r="B75" s="315"/>
      <c r="C75" s="315"/>
      <c r="D75" s="315"/>
      <c r="E75" s="315"/>
      <c r="F75" s="764" t="s">
        <v>1037</v>
      </c>
      <c r="G75" s="201" t="s">
        <v>567</v>
      </c>
      <c r="H75" s="201" t="s">
        <v>567</v>
      </c>
      <c r="I75" s="197">
        <v>1.21</v>
      </c>
      <c r="J75" s="197">
        <v>1.05</v>
      </c>
      <c r="K75" s="197">
        <v>1.08</v>
      </c>
      <c r="L75" s="197">
        <v>1.63</v>
      </c>
      <c r="M75" s="197">
        <v>1.34</v>
      </c>
      <c r="N75" s="197">
        <v>1.31</v>
      </c>
      <c r="O75" s="197">
        <v>1.04</v>
      </c>
      <c r="P75" s="197">
        <v>1.43</v>
      </c>
      <c r="Q75" s="197">
        <v>0.67</v>
      </c>
      <c r="R75" s="201" t="s">
        <v>567</v>
      </c>
      <c r="T75" s="199">
        <f t="shared" si="3"/>
        <v>1.1955555555555555</v>
      </c>
      <c r="V75" s="206">
        <f t="shared" ref="V75:V93" si="4">T75*2000</f>
        <v>2391.1111111111109</v>
      </c>
      <c r="Y75" s="146"/>
      <c r="Z75" s="195"/>
      <c r="AA75" s="195"/>
      <c r="AB75" s="195"/>
      <c r="AC75" s="195"/>
    </row>
    <row r="76" spans="1:29" x14ac:dyDescent="0.15">
      <c r="A76" s="18" t="s">
        <v>446</v>
      </c>
      <c r="B76" s="315"/>
      <c r="C76" s="315"/>
      <c r="D76" s="315"/>
      <c r="E76" s="315"/>
      <c r="F76" s="764" t="s">
        <v>1037</v>
      </c>
      <c r="G76" s="201" t="s">
        <v>567</v>
      </c>
      <c r="H76" s="201" t="s">
        <v>567</v>
      </c>
      <c r="I76" s="197">
        <v>3.49</v>
      </c>
      <c r="J76" s="197">
        <v>3.23</v>
      </c>
      <c r="K76" s="197">
        <v>3.03</v>
      </c>
      <c r="L76" s="197">
        <v>3.4</v>
      </c>
      <c r="M76" s="197">
        <v>2.77</v>
      </c>
      <c r="N76" s="197">
        <v>2.69</v>
      </c>
      <c r="O76" s="197">
        <v>2.71</v>
      </c>
      <c r="P76" s="197">
        <v>3.21</v>
      </c>
      <c r="Q76" s="197">
        <v>3.04</v>
      </c>
      <c r="R76" s="201" t="s">
        <v>567</v>
      </c>
      <c r="T76" s="199">
        <f t="shared" si="3"/>
        <v>3.0633333333333335</v>
      </c>
      <c r="V76" s="211">
        <f t="shared" si="4"/>
        <v>6126.666666666667</v>
      </c>
      <c r="W76" s="212" t="s">
        <v>563</v>
      </c>
      <c r="Y76" s="146"/>
      <c r="Z76" s="195"/>
      <c r="AA76" s="195"/>
      <c r="AB76" s="195"/>
      <c r="AC76" s="195"/>
    </row>
    <row r="77" spans="1:29" x14ac:dyDescent="0.15">
      <c r="A77" s="18" t="s">
        <v>447</v>
      </c>
      <c r="B77" s="315"/>
      <c r="C77" s="315"/>
      <c r="D77" s="315"/>
      <c r="E77" s="315"/>
      <c r="F77" s="764" t="s">
        <v>1037</v>
      </c>
      <c r="G77" s="201" t="s">
        <v>567</v>
      </c>
      <c r="H77" s="201" t="s">
        <v>567</v>
      </c>
      <c r="I77" s="197">
        <v>6.1</v>
      </c>
      <c r="J77" s="197">
        <v>10.3</v>
      </c>
      <c r="K77" s="197">
        <v>11</v>
      </c>
      <c r="L77" s="197">
        <v>12</v>
      </c>
      <c r="M77" s="197">
        <v>13.5</v>
      </c>
      <c r="N77" s="197">
        <v>11.3</v>
      </c>
      <c r="O77" s="197">
        <v>8</v>
      </c>
      <c r="P77" s="197">
        <v>11.2</v>
      </c>
      <c r="Q77" s="197">
        <v>7.5</v>
      </c>
      <c r="R77" s="201" t="s">
        <v>567</v>
      </c>
      <c r="T77" s="199">
        <f t="shared" si="3"/>
        <v>10.100000000000001</v>
      </c>
      <c r="V77" s="206">
        <f t="shared" si="4"/>
        <v>20200.000000000004</v>
      </c>
      <c r="Y77" s="146"/>
      <c r="Z77" s="195"/>
      <c r="AA77" s="195"/>
      <c r="AB77" s="195"/>
      <c r="AC77" s="195"/>
    </row>
    <row r="78" spans="1:29" x14ac:dyDescent="0.15">
      <c r="A78" s="18" t="s">
        <v>448</v>
      </c>
      <c r="B78" s="315"/>
      <c r="C78" s="315"/>
      <c r="D78" s="315"/>
      <c r="E78" s="315"/>
      <c r="F78" s="764" t="s">
        <v>1037</v>
      </c>
      <c r="G78" s="201" t="s">
        <v>567</v>
      </c>
      <c r="H78" s="201" t="s">
        <v>567</v>
      </c>
      <c r="I78" s="197">
        <v>2.4900000000000002</v>
      </c>
      <c r="J78" s="197">
        <v>3.28</v>
      </c>
      <c r="K78" s="197">
        <v>3.66</v>
      </c>
      <c r="L78" s="197">
        <v>3.18</v>
      </c>
      <c r="M78" s="197">
        <v>3.65</v>
      </c>
      <c r="N78" s="197">
        <v>3.8</v>
      </c>
      <c r="O78" s="197">
        <v>3</v>
      </c>
      <c r="P78" s="197">
        <v>5.19</v>
      </c>
      <c r="Q78" s="197">
        <v>3.55</v>
      </c>
      <c r="R78" s="201" t="s">
        <v>567</v>
      </c>
      <c r="T78" s="199">
        <f t="shared" si="3"/>
        <v>3.5333333333333332</v>
      </c>
      <c r="V78" s="211">
        <f t="shared" si="4"/>
        <v>7066.6666666666661</v>
      </c>
      <c r="W78" s="212" t="s">
        <v>559</v>
      </c>
      <c r="Y78" s="146"/>
      <c r="Z78" s="195"/>
      <c r="AA78" s="195"/>
      <c r="AB78" s="195"/>
      <c r="AC78" s="195"/>
    </row>
    <row r="79" spans="1:29" x14ac:dyDescent="0.15">
      <c r="A79" s="18" t="s">
        <v>449</v>
      </c>
      <c r="B79" s="315"/>
      <c r="C79" s="315"/>
      <c r="D79" s="315"/>
      <c r="E79" s="315"/>
      <c r="F79" s="764" t="s">
        <v>1037</v>
      </c>
      <c r="G79" s="201" t="s">
        <v>567</v>
      </c>
      <c r="H79" s="201" t="s">
        <v>567</v>
      </c>
      <c r="I79" s="197">
        <v>0.83</v>
      </c>
      <c r="J79" s="197">
        <v>3.06</v>
      </c>
      <c r="K79" s="197">
        <v>2.89</v>
      </c>
      <c r="L79" s="197">
        <v>3.74</v>
      </c>
      <c r="M79" s="197">
        <v>3.69</v>
      </c>
      <c r="N79" s="197">
        <v>3.65</v>
      </c>
      <c r="O79" s="197">
        <v>3.09</v>
      </c>
      <c r="P79" s="197">
        <v>5.05</v>
      </c>
      <c r="Q79" s="197">
        <v>2.67</v>
      </c>
      <c r="R79" s="201" t="s">
        <v>567</v>
      </c>
      <c r="T79" s="199">
        <f t="shared" si="3"/>
        <v>3.1855555555555557</v>
      </c>
      <c r="V79" s="211">
        <f t="shared" si="4"/>
        <v>6371.1111111111113</v>
      </c>
      <c r="W79" s="212" t="s">
        <v>560</v>
      </c>
      <c r="Y79" s="146"/>
      <c r="Z79" s="195"/>
      <c r="AA79" s="195"/>
      <c r="AB79" s="195"/>
      <c r="AC79" s="195"/>
    </row>
    <row r="80" spans="1:29" x14ac:dyDescent="0.15">
      <c r="A80" s="18" t="s">
        <v>139</v>
      </c>
      <c r="B80" s="315"/>
      <c r="C80" s="315"/>
      <c r="D80" s="315"/>
      <c r="E80" s="315"/>
      <c r="F80" s="764" t="s">
        <v>1037</v>
      </c>
      <c r="G80" s="201" t="s">
        <v>567</v>
      </c>
      <c r="H80" s="201" t="s">
        <v>567</v>
      </c>
      <c r="I80" s="197">
        <v>7.22</v>
      </c>
      <c r="J80" s="197">
        <v>7.88</v>
      </c>
      <c r="K80" s="197">
        <v>7.92</v>
      </c>
      <c r="L80" s="197">
        <v>8.09</v>
      </c>
      <c r="M80" s="197">
        <v>8.9499999999999993</v>
      </c>
      <c r="N80" s="197">
        <v>8.6</v>
      </c>
      <c r="O80" s="197">
        <v>10.3</v>
      </c>
      <c r="P80" s="197">
        <v>8.98</v>
      </c>
      <c r="Q80" s="197">
        <v>8.85</v>
      </c>
      <c r="R80" s="201" t="s">
        <v>567</v>
      </c>
      <c r="T80" s="199">
        <f t="shared" si="3"/>
        <v>8.5322222222222237</v>
      </c>
      <c r="V80" s="211">
        <f t="shared" si="4"/>
        <v>17064.444444444449</v>
      </c>
      <c r="W80" s="212" t="s">
        <v>139</v>
      </c>
      <c r="Y80" s="146"/>
      <c r="Z80" s="195"/>
      <c r="AA80" s="195"/>
      <c r="AB80" s="195"/>
      <c r="AC80" s="195"/>
    </row>
    <row r="81" spans="1:29" x14ac:dyDescent="0.15">
      <c r="A81" s="18" t="s">
        <v>450</v>
      </c>
      <c r="B81" s="315"/>
      <c r="C81" s="315"/>
      <c r="D81" s="315"/>
      <c r="E81" s="315"/>
      <c r="F81" s="764" t="s">
        <v>1037</v>
      </c>
      <c r="G81" s="201" t="s">
        <v>567</v>
      </c>
      <c r="H81" s="201" t="s">
        <v>567</v>
      </c>
      <c r="I81" s="197">
        <v>5.04</v>
      </c>
      <c r="J81" s="197">
        <v>3.46</v>
      </c>
      <c r="K81" s="197">
        <v>3.13</v>
      </c>
      <c r="L81" s="197">
        <v>3.02</v>
      </c>
      <c r="M81" s="197">
        <v>3.22</v>
      </c>
      <c r="N81" s="197">
        <v>3.08</v>
      </c>
      <c r="O81" s="197">
        <v>3.67</v>
      </c>
      <c r="P81" s="197">
        <v>3.54</v>
      </c>
      <c r="Q81" s="197">
        <v>3.68</v>
      </c>
      <c r="R81" s="201" t="s">
        <v>567</v>
      </c>
      <c r="T81" s="199">
        <f t="shared" si="3"/>
        <v>3.5377777777777775</v>
      </c>
      <c r="V81" s="211">
        <f t="shared" si="4"/>
        <v>7075.5555555555547</v>
      </c>
      <c r="W81" s="212" t="s">
        <v>140</v>
      </c>
      <c r="Y81" s="146"/>
      <c r="Z81" s="195"/>
      <c r="AA81" s="195"/>
      <c r="AB81" s="195"/>
      <c r="AC81" s="195"/>
    </row>
    <row r="82" spans="1:29" x14ac:dyDescent="0.15">
      <c r="A82" s="18" t="s">
        <v>451</v>
      </c>
      <c r="B82" s="315"/>
      <c r="C82" s="315"/>
      <c r="D82" s="315"/>
      <c r="E82" s="315"/>
      <c r="F82" s="764" t="s">
        <v>1037</v>
      </c>
      <c r="G82" s="201" t="s">
        <v>567</v>
      </c>
      <c r="H82" s="201" t="s">
        <v>567</v>
      </c>
      <c r="I82" s="197">
        <v>3.94</v>
      </c>
      <c r="J82" s="197">
        <v>3.73</v>
      </c>
      <c r="K82" s="197">
        <v>4.0599999999999996</v>
      </c>
      <c r="L82" s="197">
        <v>4.08</v>
      </c>
      <c r="M82" s="197">
        <v>4.16</v>
      </c>
      <c r="N82" s="197">
        <v>5.25</v>
      </c>
      <c r="O82" s="197">
        <v>4.6100000000000003</v>
      </c>
      <c r="P82" s="197">
        <v>4.7</v>
      </c>
      <c r="Q82" s="197">
        <v>4.38</v>
      </c>
      <c r="R82" s="201" t="s">
        <v>567</v>
      </c>
      <c r="T82" s="199">
        <f t="shared" si="3"/>
        <v>4.3233333333333341</v>
      </c>
      <c r="V82" s="211">
        <f t="shared" si="4"/>
        <v>8646.6666666666679</v>
      </c>
      <c r="W82" s="212" t="s">
        <v>141</v>
      </c>
      <c r="Y82" s="146"/>
      <c r="Z82" s="195"/>
      <c r="AA82" s="195"/>
      <c r="AB82" s="195"/>
      <c r="AC82" s="195"/>
    </row>
    <row r="83" spans="1:29" x14ac:dyDescent="0.15">
      <c r="A83" s="18" t="s">
        <v>142</v>
      </c>
      <c r="B83" s="315"/>
      <c r="C83" s="315"/>
      <c r="D83" s="315"/>
      <c r="E83" s="315"/>
      <c r="F83" s="764" t="s">
        <v>1037</v>
      </c>
      <c r="G83" s="201" t="s">
        <v>567</v>
      </c>
      <c r="H83" s="201" t="s">
        <v>567</v>
      </c>
      <c r="I83" s="197">
        <v>7.73</v>
      </c>
      <c r="J83" s="197">
        <v>6.97</v>
      </c>
      <c r="K83" s="197">
        <v>6.66</v>
      </c>
      <c r="L83" s="197">
        <v>8.33</v>
      </c>
      <c r="M83" s="197">
        <v>6.78</v>
      </c>
      <c r="N83" s="197">
        <v>7.51</v>
      </c>
      <c r="O83" s="197">
        <v>7.82</v>
      </c>
      <c r="P83" s="197">
        <v>7.75</v>
      </c>
      <c r="Q83" s="197">
        <v>7.82</v>
      </c>
      <c r="R83" s="201" t="s">
        <v>567</v>
      </c>
      <c r="T83" s="199">
        <f t="shared" si="3"/>
        <v>7.485555555555556</v>
      </c>
      <c r="V83" s="211">
        <f t="shared" si="4"/>
        <v>14971.111111111111</v>
      </c>
      <c r="W83" s="212" t="s">
        <v>142</v>
      </c>
      <c r="Y83" s="146"/>
      <c r="Z83" s="195"/>
      <c r="AA83" s="195"/>
      <c r="AB83" s="195"/>
      <c r="AC83" s="195"/>
    </row>
    <row r="84" spans="1:29" x14ac:dyDescent="0.15">
      <c r="A84" s="18" t="s">
        <v>452</v>
      </c>
      <c r="B84" s="315"/>
      <c r="C84" s="315"/>
      <c r="D84" s="315"/>
      <c r="E84" s="315"/>
      <c r="F84" s="764" t="s">
        <v>1037</v>
      </c>
      <c r="G84" s="201" t="s">
        <v>567</v>
      </c>
      <c r="H84" s="201" t="s">
        <v>567</v>
      </c>
      <c r="I84" s="197">
        <v>5.8</v>
      </c>
      <c r="J84" s="197">
        <v>5.64</v>
      </c>
      <c r="K84" s="197">
        <v>5.93</v>
      </c>
      <c r="L84" s="197">
        <v>8.27</v>
      </c>
      <c r="M84" s="197">
        <v>6.21</v>
      </c>
      <c r="N84" s="197">
        <v>5.83</v>
      </c>
      <c r="O84" s="197">
        <v>5.48</v>
      </c>
      <c r="P84" s="197">
        <v>6.1</v>
      </c>
      <c r="Q84" s="197">
        <v>7.79</v>
      </c>
      <c r="R84" s="201" t="s">
        <v>567</v>
      </c>
      <c r="T84" s="199">
        <f t="shared" si="3"/>
        <v>6.3388888888888886</v>
      </c>
      <c r="V84" s="211">
        <f t="shared" si="4"/>
        <v>12677.777777777777</v>
      </c>
      <c r="W84" s="212" t="s">
        <v>144</v>
      </c>
      <c r="Y84" s="146"/>
      <c r="Z84" s="195"/>
      <c r="AA84" s="195"/>
      <c r="AB84" s="195"/>
      <c r="AC84" s="195"/>
    </row>
    <row r="85" spans="1:29" x14ac:dyDescent="0.15">
      <c r="A85" s="18" t="s">
        <v>453</v>
      </c>
      <c r="B85" s="315"/>
      <c r="C85" s="315"/>
      <c r="D85" s="315"/>
      <c r="E85" s="315"/>
      <c r="F85" s="764" t="s">
        <v>1037</v>
      </c>
      <c r="G85" s="201" t="s">
        <v>567</v>
      </c>
      <c r="H85" s="201" t="s">
        <v>567</v>
      </c>
      <c r="I85" s="197">
        <v>8.2200000000000006</v>
      </c>
      <c r="J85" s="197">
        <v>7.69</v>
      </c>
      <c r="K85" s="197">
        <v>7.69</v>
      </c>
      <c r="L85" s="197">
        <v>7.08</v>
      </c>
      <c r="M85" s="197">
        <v>6.74</v>
      </c>
      <c r="N85" s="197">
        <v>8.73</v>
      </c>
      <c r="O85" s="197">
        <v>9.3699999999999992</v>
      </c>
      <c r="P85" s="197">
        <v>7.25</v>
      </c>
      <c r="Q85" s="197">
        <v>7.96</v>
      </c>
      <c r="R85" s="201" t="s">
        <v>567</v>
      </c>
      <c r="T85" s="199">
        <f t="shared" si="3"/>
        <v>7.858888888888889</v>
      </c>
      <c r="V85" s="211">
        <f t="shared" si="4"/>
        <v>15717.777777777777</v>
      </c>
      <c r="W85" s="212" t="s">
        <v>453</v>
      </c>
      <c r="Y85" s="146"/>
      <c r="Z85" s="195"/>
      <c r="AA85" s="195"/>
      <c r="AB85" s="195"/>
      <c r="AC85" s="195"/>
    </row>
    <row r="86" spans="1:29" x14ac:dyDescent="0.15">
      <c r="A86" s="18" t="s">
        <v>454</v>
      </c>
      <c r="B86" s="315"/>
      <c r="C86" s="315"/>
      <c r="D86" s="315"/>
      <c r="E86" s="315"/>
      <c r="F86" s="764" t="s">
        <v>1037</v>
      </c>
      <c r="G86" s="201" t="s">
        <v>567</v>
      </c>
      <c r="H86" s="201" t="s">
        <v>567</v>
      </c>
      <c r="I86" s="197">
        <v>2.86</v>
      </c>
      <c r="J86" s="197">
        <v>3.28</v>
      </c>
      <c r="K86" s="197">
        <v>3.36</v>
      </c>
      <c r="L86" s="197">
        <v>4.4400000000000004</v>
      </c>
      <c r="M86" s="197">
        <v>0.76</v>
      </c>
      <c r="N86" s="197">
        <v>4.42</v>
      </c>
      <c r="O86" s="197">
        <v>2.23</v>
      </c>
      <c r="P86" s="197">
        <v>1.49</v>
      </c>
      <c r="Q86" s="197">
        <v>5.91</v>
      </c>
      <c r="R86" s="201" t="s">
        <v>567</v>
      </c>
      <c r="T86" s="199">
        <f t="shared" si="3"/>
        <v>3.1944444444444446</v>
      </c>
      <c r="V86" s="211">
        <f t="shared" si="4"/>
        <v>6388.8888888888896</v>
      </c>
      <c r="W86" s="212" t="s">
        <v>146</v>
      </c>
      <c r="Y86" s="146"/>
      <c r="Z86" s="195"/>
      <c r="AA86" s="195"/>
      <c r="AB86" s="195"/>
      <c r="AC86" s="801"/>
    </row>
    <row r="87" spans="1:29" x14ac:dyDescent="0.15">
      <c r="A87" s="18" t="s">
        <v>1304</v>
      </c>
      <c r="B87" s="315"/>
      <c r="C87" s="315"/>
      <c r="D87" s="315"/>
      <c r="E87" s="315"/>
      <c r="F87" s="764" t="s">
        <v>1037</v>
      </c>
      <c r="G87" s="201" t="s">
        <v>567</v>
      </c>
      <c r="H87" s="201" t="s">
        <v>567</v>
      </c>
      <c r="I87" s="197">
        <v>13.4</v>
      </c>
      <c r="J87" s="197">
        <v>13.6</v>
      </c>
      <c r="K87" s="197">
        <v>14.2</v>
      </c>
      <c r="L87" s="197">
        <v>11.1</v>
      </c>
      <c r="M87" s="197">
        <v>9.4</v>
      </c>
      <c r="N87" s="197">
        <v>12.8</v>
      </c>
      <c r="O87" s="197">
        <v>12.2</v>
      </c>
      <c r="P87" s="197">
        <v>11.9</v>
      </c>
      <c r="Q87" s="197">
        <v>11.2</v>
      </c>
      <c r="R87" s="201" t="s">
        <v>567</v>
      </c>
      <c r="T87" s="199">
        <f t="shared" si="3"/>
        <v>12.200000000000001</v>
      </c>
      <c r="V87" s="211">
        <f t="shared" si="4"/>
        <v>24400.000000000004</v>
      </c>
      <c r="W87" s="215" t="s">
        <v>150</v>
      </c>
      <c r="Y87" s="146"/>
      <c r="Z87" s="195"/>
      <c r="AA87" s="195"/>
      <c r="AB87" s="195"/>
      <c r="AC87" s="195"/>
    </row>
    <row r="88" spans="1:29" x14ac:dyDescent="0.15">
      <c r="A88" s="18" t="s">
        <v>147</v>
      </c>
      <c r="B88" s="315"/>
      <c r="C88" s="315"/>
      <c r="D88" s="315"/>
      <c r="E88" s="315"/>
      <c r="F88" s="764" t="s">
        <v>1037</v>
      </c>
      <c r="G88" s="201" t="s">
        <v>567</v>
      </c>
      <c r="H88" s="201" t="s">
        <v>567</v>
      </c>
      <c r="I88" s="197">
        <v>8.66</v>
      </c>
      <c r="J88" s="197">
        <v>8.74</v>
      </c>
      <c r="K88" s="197">
        <v>9.14</v>
      </c>
      <c r="L88" s="197">
        <v>8.7200000000000006</v>
      </c>
      <c r="M88" s="197">
        <v>7.82</v>
      </c>
      <c r="N88" s="197">
        <v>8.99</v>
      </c>
      <c r="O88" s="197">
        <v>9.16</v>
      </c>
      <c r="P88" s="197">
        <v>9.2899999999999991</v>
      </c>
      <c r="Q88" s="197">
        <v>9.7799999999999994</v>
      </c>
      <c r="R88" s="201" t="s">
        <v>567</v>
      </c>
      <c r="T88" s="199">
        <f t="shared" si="3"/>
        <v>8.9222222222222243</v>
      </c>
      <c r="V88" s="211">
        <f t="shared" si="4"/>
        <v>17844.444444444449</v>
      </c>
      <c r="W88" s="212" t="s">
        <v>147</v>
      </c>
      <c r="Y88" s="146"/>
      <c r="Z88" s="195"/>
      <c r="AA88" s="195"/>
      <c r="AB88" s="195"/>
      <c r="AC88" s="195"/>
    </row>
    <row r="89" spans="1:29" x14ac:dyDescent="0.15">
      <c r="A89" s="18" t="s">
        <v>148</v>
      </c>
      <c r="B89" s="315"/>
      <c r="C89" s="315"/>
      <c r="D89" s="315"/>
      <c r="E89" s="315"/>
      <c r="F89" s="764" t="s">
        <v>1037</v>
      </c>
      <c r="G89" s="201" t="s">
        <v>567</v>
      </c>
      <c r="H89" s="201" t="s">
        <v>567</v>
      </c>
      <c r="I89" s="197">
        <v>13.9</v>
      </c>
      <c r="J89" s="197">
        <v>14.6</v>
      </c>
      <c r="K89" s="197">
        <v>13.9</v>
      </c>
      <c r="L89" s="197">
        <v>13.6</v>
      </c>
      <c r="M89" s="197">
        <v>14.1</v>
      </c>
      <c r="N89" s="197">
        <v>14.9</v>
      </c>
      <c r="O89" s="197">
        <v>14.8</v>
      </c>
      <c r="P89" s="197">
        <v>16.8</v>
      </c>
      <c r="Q89" s="197">
        <v>14.3</v>
      </c>
      <c r="R89" s="201" t="s">
        <v>567</v>
      </c>
      <c r="T89" s="199">
        <f t="shared" si="3"/>
        <v>14.544444444444444</v>
      </c>
      <c r="V89" s="211">
        <f t="shared" si="4"/>
        <v>29088.888888888887</v>
      </c>
      <c r="W89" s="215" t="s">
        <v>148</v>
      </c>
      <c r="Y89" s="146"/>
      <c r="Z89" s="195"/>
      <c r="AA89" s="195"/>
      <c r="AB89" s="195"/>
      <c r="AC89" s="195"/>
    </row>
    <row r="90" spans="1:29" x14ac:dyDescent="0.15">
      <c r="A90" s="18" t="s">
        <v>455</v>
      </c>
      <c r="B90" s="315"/>
      <c r="C90" s="315"/>
      <c r="D90" s="315"/>
      <c r="E90" s="315"/>
      <c r="F90" s="764" t="s">
        <v>1037</v>
      </c>
      <c r="G90" s="201" t="s">
        <v>567</v>
      </c>
      <c r="H90" s="201" t="s">
        <v>567</v>
      </c>
      <c r="I90" s="197">
        <v>5.58</v>
      </c>
      <c r="J90" s="197">
        <v>5.97</v>
      </c>
      <c r="K90" s="197">
        <v>4.66</v>
      </c>
      <c r="L90" s="197">
        <v>5.34</v>
      </c>
      <c r="M90" s="197">
        <v>5.0999999999999996</v>
      </c>
      <c r="N90" s="197">
        <v>5.15</v>
      </c>
      <c r="O90" s="197">
        <v>5.42</v>
      </c>
      <c r="P90" s="197">
        <v>4.21</v>
      </c>
      <c r="Q90" s="197">
        <v>5.39</v>
      </c>
      <c r="R90" s="201" t="s">
        <v>567</v>
      </c>
      <c r="T90" s="199">
        <f t="shared" si="3"/>
        <v>5.2022222222222219</v>
      </c>
      <c r="V90" s="211">
        <f t="shared" si="4"/>
        <v>10404.444444444443</v>
      </c>
      <c r="W90" s="215" t="s">
        <v>151</v>
      </c>
      <c r="Y90" s="146"/>
      <c r="Z90" s="195"/>
      <c r="AA90" s="195"/>
      <c r="AB90" s="195"/>
      <c r="AC90" s="195"/>
    </row>
    <row r="91" spans="1:29" x14ac:dyDescent="0.15">
      <c r="A91" s="18" t="s">
        <v>456</v>
      </c>
      <c r="B91" s="315"/>
      <c r="C91" s="315"/>
      <c r="D91" s="315"/>
      <c r="E91" s="315"/>
      <c r="F91" s="764" t="s">
        <v>1037</v>
      </c>
      <c r="G91" s="201" t="s">
        <v>567</v>
      </c>
      <c r="H91" s="201" t="s">
        <v>567</v>
      </c>
      <c r="I91" s="197">
        <v>7.02</v>
      </c>
      <c r="J91" s="197">
        <v>8.02</v>
      </c>
      <c r="K91" s="197">
        <v>2.06</v>
      </c>
      <c r="L91" s="197">
        <v>4.42</v>
      </c>
      <c r="M91" s="197">
        <v>9.75</v>
      </c>
      <c r="N91" s="197">
        <v>3.76</v>
      </c>
      <c r="O91" s="197">
        <v>5.75</v>
      </c>
      <c r="P91" s="197">
        <v>7.75</v>
      </c>
      <c r="Q91" s="197">
        <v>6.2</v>
      </c>
      <c r="R91" s="201" t="s">
        <v>567</v>
      </c>
      <c r="T91" s="199">
        <f t="shared" si="3"/>
        <v>6.0811111111111105</v>
      </c>
      <c r="V91" s="211">
        <f t="shared" si="4"/>
        <v>12162.222222222221</v>
      </c>
      <c r="W91" s="215" t="s">
        <v>153</v>
      </c>
      <c r="Y91" s="146"/>
      <c r="Z91" s="195"/>
      <c r="AA91" s="195"/>
      <c r="AB91" s="195"/>
      <c r="AC91" s="195"/>
    </row>
    <row r="92" spans="1:29" x14ac:dyDescent="0.15">
      <c r="A92" s="18" t="s">
        <v>1305</v>
      </c>
      <c r="B92" s="315"/>
      <c r="C92" s="315"/>
      <c r="D92" s="315"/>
      <c r="E92" s="315"/>
      <c r="F92" s="764" t="s">
        <v>1037</v>
      </c>
      <c r="G92" s="201" t="s">
        <v>567</v>
      </c>
      <c r="H92" s="201" t="s">
        <v>567</v>
      </c>
      <c r="I92" s="197">
        <v>3.9</v>
      </c>
      <c r="J92" s="197">
        <v>4.17</v>
      </c>
      <c r="K92" s="197">
        <v>6.83</v>
      </c>
      <c r="L92" s="197">
        <v>2.69</v>
      </c>
      <c r="M92" s="197">
        <v>6.36</v>
      </c>
      <c r="N92" s="197">
        <v>3.62</v>
      </c>
      <c r="O92" s="197">
        <v>4.78</v>
      </c>
      <c r="P92" s="197">
        <v>5.83</v>
      </c>
      <c r="Q92" s="197">
        <v>3.95</v>
      </c>
      <c r="R92" s="201" t="s">
        <v>567</v>
      </c>
      <c r="T92" s="199">
        <f t="shared" si="3"/>
        <v>4.681111111111111</v>
      </c>
      <c r="V92" s="211">
        <f t="shared" si="4"/>
        <v>9362.2222222222226</v>
      </c>
      <c r="W92" s="215" t="s">
        <v>1333</v>
      </c>
      <c r="Y92" s="146"/>
      <c r="Z92" s="195"/>
      <c r="AA92" s="195"/>
      <c r="AB92" s="195"/>
      <c r="AC92" s="195"/>
    </row>
    <row r="93" spans="1:29" x14ac:dyDescent="0.15">
      <c r="A93" s="18" t="s">
        <v>156</v>
      </c>
      <c r="B93" s="315"/>
      <c r="C93" s="315"/>
      <c r="D93" s="315"/>
      <c r="E93" s="315"/>
      <c r="F93" s="764" t="s">
        <v>1037</v>
      </c>
      <c r="G93" s="201" t="s">
        <v>567</v>
      </c>
      <c r="H93" s="201" t="s">
        <v>567</v>
      </c>
      <c r="I93" s="197">
        <v>19.8</v>
      </c>
      <c r="J93" s="197">
        <v>22.3</v>
      </c>
      <c r="K93" s="197">
        <v>21.5</v>
      </c>
      <c r="L93" s="197">
        <v>22.2</v>
      </c>
      <c r="M93" s="197">
        <v>22.5</v>
      </c>
      <c r="N93" s="197">
        <v>23.5</v>
      </c>
      <c r="O93" s="197">
        <v>23.3</v>
      </c>
      <c r="P93" s="197">
        <v>24.1</v>
      </c>
      <c r="Q93" s="197">
        <v>25</v>
      </c>
      <c r="R93" s="201" t="s">
        <v>567</v>
      </c>
      <c r="T93" s="199">
        <f t="shared" si="3"/>
        <v>22.68888888888889</v>
      </c>
      <c r="V93" s="211">
        <f t="shared" si="4"/>
        <v>45377.777777777781</v>
      </c>
      <c r="W93" s="215" t="s">
        <v>156</v>
      </c>
      <c r="Y93" s="146"/>
      <c r="Z93" s="195"/>
      <c r="AA93" s="195"/>
      <c r="AB93" s="195"/>
      <c r="AC93" s="195"/>
    </row>
    <row r="94" spans="1:29" x14ac:dyDescent="0.15">
      <c r="A94" s="18"/>
      <c r="B94" s="315"/>
      <c r="C94" s="315"/>
      <c r="D94" s="315"/>
      <c r="E94" s="315"/>
      <c r="F94" s="764"/>
      <c r="Y94" s="146"/>
      <c r="Z94" s="195"/>
      <c r="AA94" s="195"/>
      <c r="AB94" s="195"/>
      <c r="AC94" s="195"/>
    </row>
    <row r="95" spans="1:29" s="195" customFormat="1" ht="15" x14ac:dyDescent="0.15">
      <c r="A95" s="117" t="s">
        <v>1311</v>
      </c>
      <c r="B95" s="309"/>
      <c r="C95" s="309"/>
      <c r="D95" s="309"/>
      <c r="E95" s="309"/>
      <c r="F95" s="787"/>
      <c r="G95" s="202"/>
      <c r="H95" s="202"/>
      <c r="I95" s="202"/>
      <c r="J95" s="202"/>
      <c r="K95" s="202"/>
      <c r="L95" s="202"/>
      <c r="M95" s="202"/>
      <c r="N95" s="202"/>
      <c r="O95" s="202"/>
      <c r="P95" s="202"/>
      <c r="Q95" s="202"/>
      <c r="R95" s="202"/>
      <c r="T95" s="317"/>
      <c r="V95" s="214"/>
      <c r="X95" s="216"/>
      <c r="Y95" s="729"/>
    </row>
    <row r="96" spans="1:29" x14ac:dyDescent="0.15">
      <c r="A96" s="18" t="s">
        <v>1312</v>
      </c>
      <c r="B96" s="315"/>
      <c r="C96" s="315"/>
      <c r="D96" s="315"/>
      <c r="E96" s="315"/>
      <c r="F96" s="764" t="s">
        <v>1038</v>
      </c>
      <c r="G96" s="201" t="s">
        <v>567</v>
      </c>
      <c r="H96" s="201" t="s">
        <v>567</v>
      </c>
      <c r="I96" s="197">
        <v>1.62</v>
      </c>
      <c r="J96" s="197">
        <v>1.58</v>
      </c>
      <c r="K96" s="197">
        <v>1.52</v>
      </c>
      <c r="L96" s="197">
        <v>1.31</v>
      </c>
      <c r="M96" s="197">
        <v>1.57</v>
      </c>
      <c r="N96" s="197">
        <v>1.89</v>
      </c>
      <c r="O96" s="197">
        <v>2.08</v>
      </c>
      <c r="P96" s="197">
        <v>1.64</v>
      </c>
      <c r="Q96" s="197">
        <v>1.91</v>
      </c>
      <c r="R96" s="201" t="s">
        <v>567</v>
      </c>
      <c r="T96" s="199">
        <f t="shared" ref="T96:T101" si="5">AVERAGE(G96:R96)</f>
        <v>1.6800000000000004</v>
      </c>
      <c r="V96" s="211">
        <f>T96*2000</f>
        <v>3360.0000000000009</v>
      </c>
      <c r="W96" s="213" t="s">
        <v>582</v>
      </c>
      <c r="Y96" s="146"/>
      <c r="Z96" s="195"/>
      <c r="AA96" s="195"/>
      <c r="AB96" s="195"/>
      <c r="AC96" s="195"/>
    </row>
    <row r="97" spans="1:29" x14ac:dyDescent="0.15">
      <c r="A97" s="18" t="s">
        <v>457</v>
      </c>
      <c r="B97" s="315"/>
      <c r="C97" s="315"/>
      <c r="D97" s="315"/>
      <c r="E97" s="315"/>
      <c r="F97" s="764" t="s">
        <v>1038</v>
      </c>
      <c r="G97" s="201" t="s">
        <v>567</v>
      </c>
      <c r="H97" s="201" t="s">
        <v>567</v>
      </c>
      <c r="I97" s="197">
        <v>0.67</v>
      </c>
      <c r="J97" s="197">
        <v>1.35</v>
      </c>
      <c r="K97" s="197">
        <v>1.32</v>
      </c>
      <c r="L97" s="197">
        <v>0.98</v>
      </c>
      <c r="M97" s="197">
        <v>1.52</v>
      </c>
      <c r="N97" s="197">
        <v>1.29</v>
      </c>
      <c r="O97" s="197">
        <v>1.1299999999999999</v>
      </c>
      <c r="P97" s="197">
        <v>1.64</v>
      </c>
      <c r="Q97" s="197">
        <v>0.97</v>
      </c>
      <c r="R97" s="201" t="s">
        <v>567</v>
      </c>
      <c r="T97" s="199">
        <f t="shared" si="5"/>
        <v>1.2077777777777778</v>
      </c>
      <c r="V97" s="211">
        <f>T97*2000</f>
        <v>2415.5555555555557</v>
      </c>
      <c r="W97" s="213" t="s">
        <v>583</v>
      </c>
      <c r="Y97" s="146"/>
      <c r="Z97" s="195"/>
      <c r="AA97" s="195"/>
      <c r="AB97" s="195"/>
      <c r="AC97" s="195"/>
    </row>
    <row r="98" spans="1:29" x14ac:dyDescent="0.15">
      <c r="A98" s="18" t="s">
        <v>458</v>
      </c>
      <c r="B98" s="315"/>
      <c r="C98" s="315"/>
      <c r="D98" s="315"/>
      <c r="E98" s="315"/>
      <c r="F98" s="764" t="s">
        <v>1038</v>
      </c>
      <c r="G98" s="201" t="s">
        <v>567</v>
      </c>
      <c r="H98" s="201" t="s">
        <v>567</v>
      </c>
      <c r="I98" s="197">
        <v>1.49</v>
      </c>
      <c r="J98" s="197">
        <v>1.49</v>
      </c>
      <c r="K98" s="197">
        <v>1.59</v>
      </c>
      <c r="L98" s="197">
        <v>1.5</v>
      </c>
      <c r="M98" s="197">
        <v>1.94</v>
      </c>
      <c r="N98" s="197">
        <v>1.37</v>
      </c>
      <c r="O98" s="197">
        <v>1.67</v>
      </c>
      <c r="P98" s="197">
        <v>1.4</v>
      </c>
      <c r="Q98" s="197">
        <v>1.34</v>
      </c>
      <c r="R98" s="201" t="s">
        <v>567</v>
      </c>
      <c r="T98" s="199">
        <f t="shared" si="5"/>
        <v>1.5322222222222222</v>
      </c>
      <c r="V98" s="211">
        <f>T98*2000</f>
        <v>3064.4444444444443</v>
      </c>
      <c r="W98" s="213" t="s">
        <v>584</v>
      </c>
      <c r="Y98" s="146"/>
      <c r="Z98" s="195"/>
      <c r="AA98" s="195"/>
      <c r="AB98" s="195"/>
      <c r="AC98" s="195"/>
    </row>
    <row r="99" spans="1:29" x14ac:dyDescent="0.15">
      <c r="A99" s="18" t="s">
        <v>325</v>
      </c>
      <c r="B99" s="315"/>
      <c r="C99" s="315"/>
      <c r="D99" s="315"/>
      <c r="E99" s="315"/>
      <c r="F99" s="788" t="s">
        <v>567</v>
      </c>
      <c r="G99" s="201" t="s">
        <v>567</v>
      </c>
      <c r="H99" s="201" t="s">
        <v>567</v>
      </c>
      <c r="I99" s="201" t="s">
        <v>567</v>
      </c>
      <c r="J99" s="201" t="s">
        <v>567</v>
      </c>
      <c r="K99" s="201" t="s">
        <v>567</v>
      </c>
      <c r="L99" s="201" t="s">
        <v>567</v>
      </c>
      <c r="M99" s="201" t="s">
        <v>567</v>
      </c>
      <c r="N99" s="201" t="s">
        <v>567</v>
      </c>
      <c r="O99" s="201" t="s">
        <v>567</v>
      </c>
      <c r="P99" s="201" t="s">
        <v>567</v>
      </c>
      <c r="Q99" s="201" t="s">
        <v>567</v>
      </c>
      <c r="R99" s="201" t="s">
        <v>567</v>
      </c>
      <c r="T99" s="199" t="e">
        <f t="shared" si="5"/>
        <v>#DIV/0!</v>
      </c>
      <c r="Y99" s="146"/>
      <c r="Z99" s="195"/>
      <c r="AA99" s="195"/>
      <c r="AB99" s="195"/>
      <c r="AC99" s="195"/>
    </row>
    <row r="100" spans="1:29" x14ac:dyDescent="0.15">
      <c r="A100" s="18" t="s">
        <v>459</v>
      </c>
      <c r="B100" s="315"/>
      <c r="C100" s="315"/>
      <c r="D100" s="315"/>
      <c r="E100" s="315"/>
      <c r="F100" s="764" t="s">
        <v>1038</v>
      </c>
      <c r="G100" s="201" t="s">
        <v>567</v>
      </c>
      <c r="H100" s="201" t="s">
        <v>567</v>
      </c>
      <c r="I100" s="197">
        <v>1.83</v>
      </c>
      <c r="J100" s="197">
        <v>0.68</v>
      </c>
      <c r="K100" s="197">
        <v>1.87</v>
      </c>
      <c r="L100" s="197">
        <v>1.35</v>
      </c>
      <c r="M100" s="197">
        <v>1.07</v>
      </c>
      <c r="N100" s="197">
        <v>1.81</v>
      </c>
      <c r="O100" s="197">
        <v>1.18</v>
      </c>
      <c r="P100" s="197">
        <v>1.41</v>
      </c>
      <c r="Q100" s="197">
        <v>1.91</v>
      </c>
      <c r="R100" s="201" t="s">
        <v>567</v>
      </c>
      <c r="T100" s="199">
        <f t="shared" si="5"/>
        <v>1.4566666666666668</v>
      </c>
      <c r="V100" s="211">
        <f>T100*2000</f>
        <v>2913.3333333333335</v>
      </c>
      <c r="W100" s="213" t="s">
        <v>585</v>
      </c>
      <c r="Y100" s="146"/>
      <c r="Z100" s="195"/>
      <c r="AA100" s="195"/>
      <c r="AB100" s="195"/>
      <c r="AC100" s="195"/>
    </row>
    <row r="101" spans="1:29" x14ac:dyDescent="0.15">
      <c r="A101" s="18" t="s">
        <v>460</v>
      </c>
      <c r="B101" s="315"/>
      <c r="C101" s="315"/>
      <c r="D101" s="315"/>
      <c r="E101" s="315"/>
      <c r="F101" s="764" t="s">
        <v>1038</v>
      </c>
      <c r="G101" s="201" t="s">
        <v>567</v>
      </c>
      <c r="H101" s="201" t="s">
        <v>567</v>
      </c>
      <c r="I101" s="197">
        <v>1.34</v>
      </c>
      <c r="J101" s="197">
        <v>1.53</v>
      </c>
      <c r="K101" s="197">
        <v>1.52</v>
      </c>
      <c r="L101" s="197">
        <v>1.65</v>
      </c>
      <c r="M101" s="197">
        <v>1.6</v>
      </c>
      <c r="N101" s="197">
        <v>1.5</v>
      </c>
      <c r="O101" s="197">
        <v>1.96</v>
      </c>
      <c r="P101" s="197">
        <v>1.93</v>
      </c>
      <c r="Q101" s="197">
        <v>2.2200000000000002</v>
      </c>
      <c r="R101" s="201" t="s">
        <v>567</v>
      </c>
      <c r="T101" s="199">
        <f t="shared" si="5"/>
        <v>1.6944444444444446</v>
      </c>
      <c r="V101" s="211">
        <f>T101*2000</f>
        <v>3388.8888888888891</v>
      </c>
      <c r="W101" s="213" t="s">
        <v>586</v>
      </c>
      <c r="Y101" s="146"/>
      <c r="Z101" s="195"/>
      <c r="AA101" s="195"/>
      <c r="AB101" s="195"/>
      <c r="AC101" s="195"/>
    </row>
    <row r="102" spans="1:29" x14ac:dyDescent="0.15">
      <c r="A102" s="18"/>
      <c r="B102" s="315"/>
      <c r="C102" s="315"/>
      <c r="D102" s="315"/>
      <c r="E102" s="315"/>
      <c r="F102" s="764"/>
      <c r="Y102" s="146"/>
      <c r="Z102" s="195"/>
      <c r="AA102" s="195"/>
      <c r="AB102" s="195"/>
      <c r="AC102" s="195"/>
    </row>
    <row r="103" spans="1:29" s="195" customFormat="1" ht="15" x14ac:dyDescent="0.15">
      <c r="A103" s="792" t="s">
        <v>1327</v>
      </c>
      <c r="B103" s="309"/>
      <c r="C103" s="309"/>
      <c r="D103" s="309"/>
      <c r="E103" s="309"/>
      <c r="F103" s="787"/>
      <c r="G103" s="202"/>
      <c r="H103" s="202"/>
      <c r="I103" s="202"/>
      <c r="J103" s="202"/>
      <c r="K103" s="202"/>
      <c r="L103" s="202"/>
      <c r="M103" s="202"/>
      <c r="N103" s="202"/>
      <c r="O103" s="202"/>
      <c r="P103" s="202"/>
      <c r="Q103" s="202"/>
      <c r="R103" s="202"/>
      <c r="T103" s="317"/>
      <c r="V103" s="214"/>
      <c r="X103" s="216"/>
      <c r="Y103" s="729"/>
    </row>
    <row r="104" spans="1:29" x14ac:dyDescent="0.15">
      <c r="A104" s="427" t="s">
        <v>461</v>
      </c>
      <c r="B104" s="315"/>
      <c r="C104" s="315"/>
      <c r="D104" s="315"/>
      <c r="E104" s="315"/>
      <c r="F104" s="789" t="s">
        <v>626</v>
      </c>
      <c r="G104" s="200">
        <f>(G105*1000)/G106</f>
        <v>17.064096817570597</v>
      </c>
      <c r="H104" s="200">
        <f t="shared" ref="H104:Q104" si="6">(H105*1000)/H106</f>
        <v>16.21731289449955</v>
      </c>
      <c r="I104" s="200">
        <f t="shared" si="6"/>
        <v>16.440757186258473</v>
      </c>
      <c r="J104" s="200">
        <f t="shared" si="6"/>
        <v>15.625730994152047</v>
      </c>
      <c r="K104" s="200">
        <f t="shared" si="6"/>
        <v>17.514548981571291</v>
      </c>
      <c r="L104" s="200">
        <f t="shared" si="6"/>
        <v>13.301435406698564</v>
      </c>
      <c r="M104" s="200">
        <f t="shared" si="6"/>
        <v>14.080584099513251</v>
      </c>
      <c r="N104" s="200">
        <f t="shared" si="6"/>
        <v>11.906861394323505</v>
      </c>
      <c r="O104" s="200">
        <f t="shared" si="6"/>
        <v>15.474922947604371</v>
      </c>
      <c r="P104" s="200">
        <f t="shared" si="6"/>
        <v>14.546223224351747</v>
      </c>
      <c r="Q104" s="200">
        <f t="shared" si="6"/>
        <v>13.625646923519264</v>
      </c>
      <c r="R104" s="203" t="s">
        <v>567</v>
      </c>
      <c r="T104" s="199">
        <f>AVERAGE(G104:R104)</f>
        <v>15.072556442732967</v>
      </c>
      <c r="V104" s="206">
        <f>T104*2000</f>
        <v>30145.112885465933</v>
      </c>
      <c r="Y104" s="146"/>
      <c r="Z104" s="195"/>
      <c r="AA104" s="195"/>
      <c r="AB104" s="195"/>
      <c r="AC104" s="195"/>
    </row>
    <row r="105" spans="1:29" x14ac:dyDescent="0.15">
      <c r="A105" s="18"/>
      <c r="B105" s="315"/>
      <c r="C105" s="315"/>
      <c r="D105" s="315"/>
      <c r="E105" s="315"/>
      <c r="F105" s="789" t="s">
        <v>1039</v>
      </c>
      <c r="G105" s="199">
        <v>7614</v>
      </c>
      <c r="H105" s="199">
        <v>7194</v>
      </c>
      <c r="I105" s="199">
        <v>7035</v>
      </c>
      <c r="J105" s="199">
        <v>6680</v>
      </c>
      <c r="K105" s="199">
        <v>7223</v>
      </c>
      <c r="L105" s="199">
        <v>5282</v>
      </c>
      <c r="M105" s="199">
        <v>5207</v>
      </c>
      <c r="N105" s="199">
        <v>4321</v>
      </c>
      <c r="O105" s="199">
        <v>5523</v>
      </c>
      <c r="P105" s="199">
        <v>5161</v>
      </c>
      <c r="Q105" s="199">
        <v>4739</v>
      </c>
      <c r="R105" s="203" t="s">
        <v>567</v>
      </c>
      <c r="Y105" s="146"/>
      <c r="Z105" s="195"/>
      <c r="AA105" s="195"/>
      <c r="AB105" s="195"/>
      <c r="AC105" s="195"/>
    </row>
    <row r="106" spans="1:29" x14ac:dyDescent="0.15">
      <c r="A106" s="18"/>
      <c r="B106" s="315"/>
      <c r="C106" s="315"/>
      <c r="D106" s="315"/>
      <c r="E106" s="315"/>
      <c r="F106" s="789" t="s">
        <v>1040</v>
      </c>
      <c r="G106" s="199">
        <v>446200</v>
      </c>
      <c r="H106" s="199">
        <v>443600</v>
      </c>
      <c r="I106" s="199">
        <v>427900</v>
      </c>
      <c r="J106" s="199">
        <v>427500</v>
      </c>
      <c r="K106" s="199">
        <v>412400</v>
      </c>
      <c r="L106" s="199">
        <v>397100</v>
      </c>
      <c r="M106" s="199">
        <v>369800</v>
      </c>
      <c r="N106" s="199">
        <v>362900</v>
      </c>
      <c r="O106" s="199">
        <v>356900</v>
      </c>
      <c r="P106" s="199">
        <v>354800</v>
      </c>
      <c r="Q106" s="199">
        <v>347800</v>
      </c>
      <c r="R106" s="203" t="s">
        <v>567</v>
      </c>
      <c r="Y106" s="146"/>
      <c r="Z106" s="195"/>
      <c r="AA106" s="195"/>
      <c r="AB106" s="195"/>
      <c r="AC106" s="195"/>
    </row>
    <row r="107" spans="1:29" x14ac:dyDescent="0.15">
      <c r="A107" s="427" t="s">
        <v>462</v>
      </c>
      <c r="B107" s="315"/>
      <c r="C107" s="315"/>
      <c r="D107" s="315"/>
      <c r="E107" s="315"/>
      <c r="F107" s="789" t="s">
        <v>626</v>
      </c>
      <c r="G107" s="200">
        <f>(G108*1000)/G109</f>
        <v>14.532937365010799</v>
      </c>
      <c r="H107" s="200">
        <f t="shared" ref="H107" si="7">(H108*1000)/H109</f>
        <v>13.401759530791789</v>
      </c>
      <c r="I107" s="200">
        <f t="shared" ref="I107" si="8">(I108*1000)/I109</f>
        <v>14.441439004598323</v>
      </c>
      <c r="J107" s="200">
        <f t="shared" ref="J107" si="9">(J108*1000)/J109</f>
        <v>13.060402684563758</v>
      </c>
      <c r="K107" s="200">
        <f t="shared" ref="K107" si="10">(K108*1000)/K109</f>
        <v>15.730994152046783</v>
      </c>
      <c r="L107" s="200">
        <f t="shared" ref="L107" si="11">(L108*1000)/L109</f>
        <v>11.382277028964726</v>
      </c>
      <c r="M107" s="200">
        <f t="shared" ref="M107" si="12">(M108*1000)/M109</f>
        <v>11.793999381379523</v>
      </c>
      <c r="N107" s="200">
        <f t="shared" ref="N107" si="13">(N108*1000)/N109</f>
        <v>10.508905852417303</v>
      </c>
      <c r="O107" s="200">
        <f t="shared" ref="O107" si="14">(O108*1000)/O109</f>
        <v>14.869366427171784</v>
      </c>
      <c r="P107" s="200">
        <f t="shared" ref="P107" si="15">(P108*1000)/P109</f>
        <v>13.157545605306799</v>
      </c>
      <c r="Q107" s="200">
        <f t="shared" ref="Q107" si="16">(Q108*1000)/Q109</f>
        <v>11.735593220338982</v>
      </c>
      <c r="R107" s="203" t="s">
        <v>567</v>
      </c>
      <c r="T107" s="199">
        <f>AVERAGE(G107:R107)</f>
        <v>13.146838204780959</v>
      </c>
      <c r="V107" s="206">
        <f>T107*2000</f>
        <v>26293.676409561918</v>
      </c>
      <c r="Y107" s="146"/>
      <c r="Z107" s="195"/>
      <c r="AA107" s="195"/>
      <c r="AB107" s="195"/>
      <c r="AC107" s="195"/>
    </row>
    <row r="108" spans="1:29" x14ac:dyDescent="0.15">
      <c r="A108" s="18"/>
      <c r="B108" s="315"/>
      <c r="C108" s="315"/>
      <c r="D108" s="315"/>
      <c r="E108" s="315"/>
      <c r="F108" s="789" t="s">
        <v>1039</v>
      </c>
      <c r="G108" s="199">
        <v>5383</v>
      </c>
      <c r="H108" s="199">
        <v>5027</v>
      </c>
      <c r="I108" s="199">
        <v>5339</v>
      </c>
      <c r="J108" s="199">
        <v>4865</v>
      </c>
      <c r="K108" s="199">
        <v>5649</v>
      </c>
      <c r="L108" s="199">
        <v>3969</v>
      </c>
      <c r="M108" s="199">
        <v>3813</v>
      </c>
      <c r="N108" s="199">
        <v>3304</v>
      </c>
      <c r="O108" s="199">
        <v>4553</v>
      </c>
      <c r="P108" s="199">
        <v>3967</v>
      </c>
      <c r="Q108" s="199">
        <v>3462</v>
      </c>
      <c r="R108" s="203" t="s">
        <v>567</v>
      </c>
      <c r="Y108" s="146"/>
      <c r="Z108" s="195"/>
      <c r="AA108" s="195"/>
      <c r="AB108" s="195"/>
      <c r="AC108" s="195"/>
    </row>
    <row r="109" spans="1:29" x14ac:dyDescent="0.15">
      <c r="A109" s="18"/>
      <c r="B109" s="315"/>
      <c r="C109" s="315"/>
      <c r="D109" s="315"/>
      <c r="E109" s="315"/>
      <c r="F109" s="789" t="s">
        <v>1040</v>
      </c>
      <c r="G109" s="199">
        <v>370400</v>
      </c>
      <c r="H109" s="199">
        <v>375100</v>
      </c>
      <c r="I109" s="199">
        <v>369700</v>
      </c>
      <c r="J109" s="199">
        <v>372500</v>
      </c>
      <c r="K109" s="199">
        <v>359100</v>
      </c>
      <c r="L109" s="199">
        <v>348700</v>
      </c>
      <c r="M109" s="199">
        <v>323300</v>
      </c>
      <c r="N109" s="199">
        <v>314400</v>
      </c>
      <c r="O109" s="199">
        <v>306200</v>
      </c>
      <c r="P109" s="199">
        <v>301500</v>
      </c>
      <c r="Q109" s="199">
        <v>295000</v>
      </c>
      <c r="R109" s="203" t="s">
        <v>567</v>
      </c>
      <c r="Y109" s="146"/>
      <c r="Z109" s="195"/>
      <c r="AA109" s="195"/>
      <c r="AB109" s="195"/>
      <c r="AC109" s="195"/>
    </row>
    <row r="110" spans="1:29" x14ac:dyDescent="0.15">
      <c r="A110" s="427" t="s">
        <v>463</v>
      </c>
      <c r="B110" s="315"/>
      <c r="C110" s="315"/>
      <c r="D110" s="315"/>
      <c r="E110" s="315"/>
      <c r="F110" s="789" t="s">
        <v>626</v>
      </c>
      <c r="G110" s="200">
        <f>(G111*1000)/G112</f>
        <v>15.91599314229733</v>
      </c>
      <c r="H110" s="200">
        <f t="shared" ref="H110" si="17">(H111*1000)/H112</f>
        <v>14.927323806033955</v>
      </c>
      <c r="I110" s="200">
        <f t="shared" ref="I110" si="18">(I111*1000)/I112</f>
        <v>15.514042126379138</v>
      </c>
      <c r="J110" s="200">
        <f t="shared" ref="J110" si="19">(J111*1000)/J112</f>
        <v>14.43125</v>
      </c>
      <c r="K110" s="200">
        <f t="shared" ref="K110" si="20">(K111*1000)/K112</f>
        <v>16.684381075826312</v>
      </c>
      <c r="L110" s="200">
        <f t="shared" ref="L110" si="21">(L111*1000)/L112</f>
        <v>12.404129793510325</v>
      </c>
      <c r="M110" s="200">
        <f t="shared" ref="M110" si="22">(M111*1000)/M112</f>
        <v>13.013995094502958</v>
      </c>
      <c r="N110" s="200">
        <f t="shared" ref="N110" si="23">(N111*1000)/N112</f>
        <v>11.257935922043407</v>
      </c>
      <c r="O110" s="200">
        <f t="shared" ref="O110" si="24">(O111*1000)/O112</f>
        <v>15.195294827326196</v>
      </c>
      <c r="P110" s="200">
        <f t="shared" ref="P110" si="25">(P111*1000)/P112</f>
        <v>13.908273655340546</v>
      </c>
      <c r="Q110" s="200">
        <f t="shared" ref="Q110" si="26">(Q111*1000)/Q112</f>
        <v>12.758245177349098</v>
      </c>
      <c r="R110" s="203" t="s">
        <v>567</v>
      </c>
      <c r="T110" s="199">
        <f>AVERAGE(G110:R110)</f>
        <v>14.182805874600842</v>
      </c>
      <c r="V110" s="211">
        <f>T110*2000</f>
        <v>28365.611749201682</v>
      </c>
      <c r="W110" s="213" t="s">
        <v>555</v>
      </c>
      <c r="Y110" s="146"/>
      <c r="Z110" s="195"/>
      <c r="AA110" s="195"/>
      <c r="AB110" s="195"/>
      <c r="AC110" s="195"/>
    </row>
    <row r="111" spans="1:29" x14ac:dyDescent="0.15">
      <c r="A111" s="18"/>
      <c r="B111" s="315"/>
      <c r="C111" s="315"/>
      <c r="D111" s="315"/>
      <c r="E111" s="315"/>
      <c r="F111" s="789" t="s">
        <v>1039</v>
      </c>
      <c r="G111" s="199">
        <v>12997</v>
      </c>
      <c r="H111" s="199">
        <v>12221</v>
      </c>
      <c r="I111" s="199">
        <v>12374</v>
      </c>
      <c r="J111" s="199">
        <v>11545</v>
      </c>
      <c r="K111" s="199">
        <v>12872</v>
      </c>
      <c r="L111" s="199">
        <v>9251</v>
      </c>
      <c r="M111" s="199">
        <v>9020</v>
      </c>
      <c r="N111" s="199">
        <v>7625</v>
      </c>
      <c r="O111" s="199">
        <v>10076</v>
      </c>
      <c r="P111" s="199">
        <v>9128</v>
      </c>
      <c r="Q111" s="199">
        <v>8201</v>
      </c>
      <c r="R111" s="203" t="s">
        <v>567</v>
      </c>
      <c r="Y111" s="146"/>
      <c r="Z111" s="195"/>
      <c r="AA111" s="195"/>
      <c r="AB111" s="195"/>
      <c r="AC111" s="195"/>
    </row>
    <row r="112" spans="1:29" x14ac:dyDescent="0.15">
      <c r="A112" s="18"/>
      <c r="B112" s="315"/>
      <c r="C112" s="315"/>
      <c r="D112" s="315"/>
      <c r="E112" s="315"/>
      <c r="F112" s="789" t="s">
        <v>1040</v>
      </c>
      <c r="G112" s="199">
        <v>816600</v>
      </c>
      <c r="H112" s="199">
        <v>818700</v>
      </c>
      <c r="I112" s="199">
        <v>797600</v>
      </c>
      <c r="J112" s="199">
        <v>800000</v>
      </c>
      <c r="K112" s="199">
        <v>771500</v>
      </c>
      <c r="L112" s="199">
        <v>745800</v>
      </c>
      <c r="M112" s="199">
        <v>693100</v>
      </c>
      <c r="N112" s="199">
        <v>677300</v>
      </c>
      <c r="O112" s="199">
        <v>663100</v>
      </c>
      <c r="P112" s="199">
        <v>656300</v>
      </c>
      <c r="Q112" s="199">
        <v>642800</v>
      </c>
      <c r="R112" s="203" t="s">
        <v>567</v>
      </c>
      <c r="Y112" s="146"/>
      <c r="Z112" s="195"/>
      <c r="AA112" s="195"/>
      <c r="AB112" s="195"/>
      <c r="AC112" s="195"/>
    </row>
    <row r="113" spans="1:29" x14ac:dyDescent="0.15">
      <c r="A113" s="427" t="s">
        <v>125</v>
      </c>
      <c r="B113" s="315"/>
      <c r="C113" s="315"/>
      <c r="D113" s="315"/>
      <c r="E113" s="315"/>
      <c r="F113" s="789" t="s">
        <v>626</v>
      </c>
      <c r="G113" s="200">
        <f>(G114*1000)/G115</f>
        <v>18</v>
      </c>
      <c r="H113" s="200">
        <f t="shared" ref="H113" si="27">(H114*1000)/H115</f>
        <v>16.955922865013775</v>
      </c>
      <c r="I113" s="200">
        <f t="shared" ref="I113" si="28">(I114*1000)/I115</f>
        <v>17.784299339691856</v>
      </c>
      <c r="J113" s="200">
        <f t="shared" ref="J113" si="29">(J114*1000)/J115</f>
        <v>16.066978193146419</v>
      </c>
      <c r="K113" s="200">
        <f t="shared" ref="K113" si="30">(K114*1000)/K115</f>
        <v>18.991228070175438</v>
      </c>
      <c r="L113" s="200">
        <f t="shared" ref="L113" si="31">(L114*1000)/L115</f>
        <v>10.029556650246306</v>
      </c>
      <c r="M113" s="200">
        <f t="shared" ref="M113" si="32">(M114*1000)/M115</f>
        <v>13.82716049382716</v>
      </c>
      <c r="N113" s="200">
        <f t="shared" ref="N113" si="33">(N114*1000)/N115</f>
        <v>18.896631823461092</v>
      </c>
      <c r="O113" s="200">
        <f t="shared" ref="O113" si="34">(O114*1000)/O115</f>
        <v>18.561151079136689</v>
      </c>
      <c r="P113" s="200">
        <f t="shared" ref="P113" si="35">(P114*1000)/P115</f>
        <v>16.218905472636816</v>
      </c>
      <c r="Q113" s="200">
        <f t="shared" ref="Q113" si="36">(Q114*1000)/Q115</f>
        <v>16.115485564304461</v>
      </c>
      <c r="R113" s="203" t="s">
        <v>567</v>
      </c>
      <c r="T113" s="199">
        <f>AVERAGE(G113:R113)</f>
        <v>16.495210868330911</v>
      </c>
      <c r="V113" s="211">
        <f>T113*2000</f>
        <v>32990.421736661825</v>
      </c>
      <c r="W113" s="213" t="s">
        <v>125</v>
      </c>
      <c r="Y113" s="146"/>
      <c r="Z113" s="195"/>
      <c r="AA113" s="195"/>
      <c r="AB113" s="195"/>
      <c r="AC113" s="195"/>
    </row>
    <row r="114" spans="1:29" x14ac:dyDescent="0.15">
      <c r="A114" s="18"/>
      <c r="B114" s="315"/>
      <c r="C114" s="315"/>
      <c r="D114" s="315"/>
      <c r="E114" s="315"/>
      <c r="F114" s="789" t="s">
        <v>1039</v>
      </c>
      <c r="G114" s="199">
        <v>2763</v>
      </c>
      <c r="H114" s="199">
        <v>2462</v>
      </c>
      <c r="I114" s="199">
        <v>2424</v>
      </c>
      <c r="J114" s="199">
        <v>2063</v>
      </c>
      <c r="K114" s="199">
        <v>2165</v>
      </c>
      <c r="L114" s="199">
        <v>1018</v>
      </c>
      <c r="M114" s="199">
        <v>1232</v>
      </c>
      <c r="N114" s="199">
        <v>1627</v>
      </c>
      <c r="O114" s="199">
        <v>1548</v>
      </c>
      <c r="P114" s="199">
        <v>1304</v>
      </c>
      <c r="Q114" s="199">
        <v>1228</v>
      </c>
      <c r="R114" s="203" t="s">
        <v>567</v>
      </c>
      <c r="Y114" s="146"/>
      <c r="Z114" s="195"/>
      <c r="AA114" s="195"/>
      <c r="AB114" s="195"/>
      <c r="AC114" s="195"/>
    </row>
    <row r="115" spans="1:29" x14ac:dyDescent="0.15">
      <c r="A115" s="18"/>
      <c r="B115" s="315"/>
      <c r="C115" s="315"/>
      <c r="D115" s="315"/>
      <c r="E115" s="315"/>
      <c r="F115" s="789" t="s">
        <v>1040</v>
      </c>
      <c r="G115" s="199">
        <v>153500</v>
      </c>
      <c r="H115" s="199">
        <v>145200</v>
      </c>
      <c r="I115" s="199">
        <v>136300</v>
      </c>
      <c r="J115" s="199">
        <v>128400</v>
      </c>
      <c r="K115" s="199">
        <v>114000</v>
      </c>
      <c r="L115" s="199">
        <v>101500</v>
      </c>
      <c r="M115" s="199">
        <v>89100</v>
      </c>
      <c r="N115" s="199">
        <v>86100</v>
      </c>
      <c r="O115" s="199">
        <v>83400</v>
      </c>
      <c r="P115" s="199">
        <v>80400</v>
      </c>
      <c r="Q115" s="199">
        <v>76200</v>
      </c>
      <c r="R115" s="203" t="s">
        <v>567</v>
      </c>
      <c r="Y115" s="146"/>
      <c r="Z115" s="195"/>
      <c r="AA115" s="195"/>
      <c r="AB115" s="195"/>
      <c r="AC115" s="195"/>
    </row>
    <row r="116" spans="1:29" x14ac:dyDescent="0.15">
      <c r="A116" s="427" t="s">
        <v>464</v>
      </c>
      <c r="B116" s="315"/>
      <c r="C116" s="315"/>
      <c r="D116" s="315"/>
      <c r="E116" s="315"/>
      <c r="F116" s="789" t="s">
        <v>626</v>
      </c>
      <c r="G116" s="200">
        <f>(G117*1000)/G118</f>
        <v>11.225490196078431</v>
      </c>
      <c r="H116" s="200">
        <f t="shared" ref="H116" si="37">(H117*1000)/H118</f>
        <v>9.3249999999999993</v>
      </c>
      <c r="I116" s="200">
        <f t="shared" ref="I116" si="38">(I117*1000)/I118</f>
        <v>10.824742268041238</v>
      </c>
      <c r="J116" s="200">
        <f t="shared" ref="J116" si="39">(J117*1000)/J118</f>
        <v>10.079155672823219</v>
      </c>
      <c r="K116" s="200">
        <f t="shared" ref="K116" si="40">(K117*1000)/K118</f>
        <v>11.27027027027027</v>
      </c>
      <c r="L116" s="200">
        <f t="shared" ref="L116" si="41">(L117*1000)/L118</f>
        <v>9.2797783933518012</v>
      </c>
      <c r="M116" s="200">
        <f t="shared" ref="M116" si="42">(M117*1000)/M118</f>
        <v>11.982758620689655</v>
      </c>
      <c r="N116" s="200">
        <f t="shared" ref="N116" si="43">(N117*1000)/N118</f>
        <v>9.8097826086956523</v>
      </c>
      <c r="O116" s="200">
        <f t="shared" ref="O116" si="44">(O117*1000)/O118</f>
        <v>13.012345679012345</v>
      </c>
      <c r="P116" s="200">
        <f t="shared" ref="P116" si="45">(P117*1000)/P118</f>
        <v>10.02262443438914</v>
      </c>
      <c r="Q116" s="200">
        <f t="shared" ref="Q116" si="46">(Q117*1000)/Q118</f>
        <v>12.991266375545852</v>
      </c>
      <c r="R116" s="203" t="s">
        <v>567</v>
      </c>
      <c r="T116" s="199">
        <f>AVERAGE(G116:R116)</f>
        <v>10.893019501717964</v>
      </c>
      <c r="V116" s="211">
        <f>T116*2000</f>
        <v>21786.039003435926</v>
      </c>
      <c r="W116" s="213" t="s">
        <v>128</v>
      </c>
      <c r="Y116" s="146"/>
      <c r="Z116" s="195"/>
      <c r="AA116" s="195"/>
      <c r="AB116" s="195"/>
      <c r="AC116" s="195"/>
    </row>
    <row r="117" spans="1:29" x14ac:dyDescent="0.15">
      <c r="A117" s="18"/>
      <c r="B117" s="315"/>
      <c r="C117" s="315"/>
      <c r="D117" s="315"/>
      <c r="E117" s="315"/>
      <c r="F117" s="789" t="s">
        <v>1039</v>
      </c>
      <c r="G117" s="199">
        <v>458</v>
      </c>
      <c r="H117" s="199">
        <v>373</v>
      </c>
      <c r="I117" s="199">
        <v>420</v>
      </c>
      <c r="J117" s="199">
        <v>382</v>
      </c>
      <c r="K117" s="199">
        <v>417</v>
      </c>
      <c r="L117" s="199">
        <v>335</v>
      </c>
      <c r="M117" s="199">
        <v>417</v>
      </c>
      <c r="N117" s="199">
        <v>361</v>
      </c>
      <c r="O117" s="199">
        <v>527</v>
      </c>
      <c r="P117" s="199">
        <v>443</v>
      </c>
      <c r="Q117" s="199">
        <v>595</v>
      </c>
      <c r="R117" s="203" t="s">
        <v>567</v>
      </c>
      <c r="Y117" s="146"/>
      <c r="Z117" s="195"/>
      <c r="AA117" s="195"/>
      <c r="AB117" s="195"/>
      <c r="AC117" s="195"/>
    </row>
    <row r="118" spans="1:29" x14ac:dyDescent="0.15">
      <c r="A118" s="18"/>
      <c r="B118" s="315"/>
      <c r="C118" s="315"/>
      <c r="D118" s="315"/>
      <c r="E118" s="315"/>
      <c r="F118" s="789" t="s">
        <v>1040</v>
      </c>
      <c r="G118" s="199">
        <v>40800</v>
      </c>
      <c r="H118" s="199">
        <v>40000</v>
      </c>
      <c r="I118" s="199">
        <v>38800</v>
      </c>
      <c r="J118" s="199">
        <v>37900</v>
      </c>
      <c r="K118" s="199">
        <v>37000</v>
      </c>
      <c r="L118" s="199">
        <v>36100</v>
      </c>
      <c r="M118" s="199">
        <v>34800</v>
      </c>
      <c r="N118" s="199">
        <v>36800</v>
      </c>
      <c r="O118" s="199">
        <v>40500</v>
      </c>
      <c r="P118" s="199">
        <v>44200</v>
      </c>
      <c r="Q118" s="199">
        <v>45800</v>
      </c>
      <c r="R118" s="203" t="s">
        <v>567</v>
      </c>
      <c r="Y118" s="146"/>
      <c r="Z118" s="195"/>
      <c r="AA118" s="195"/>
      <c r="AB118" s="195"/>
      <c r="AC118" s="195"/>
    </row>
    <row r="119" spans="1:29" x14ac:dyDescent="0.15">
      <c r="A119" s="427" t="s">
        <v>126</v>
      </c>
      <c r="B119" s="315"/>
      <c r="C119" s="315"/>
      <c r="D119" s="315"/>
      <c r="E119" s="315"/>
      <c r="F119" s="789" t="s">
        <v>626</v>
      </c>
      <c r="G119" s="200">
        <f>(G120*1000)/G121</f>
        <v>13.16614420062696</v>
      </c>
      <c r="H119" s="200">
        <f t="shared" ref="H119" si="47">(H120*1000)/H121</f>
        <v>15.252679938744258</v>
      </c>
      <c r="I119" s="200">
        <f t="shared" ref="I119" si="48">(I120*1000)/I121</f>
        <v>12.173252279635259</v>
      </c>
      <c r="J119" s="200">
        <f t="shared" ref="J119" si="49">(J120*1000)/J121</f>
        <v>15.833333333333334</v>
      </c>
      <c r="K119" s="200">
        <f t="shared" ref="K119" si="50">(K120*1000)/K121</f>
        <v>12.870967741935484</v>
      </c>
      <c r="L119" s="200">
        <f t="shared" ref="L119" si="51">(L120*1000)/L121</f>
        <v>14.146341463414634</v>
      </c>
      <c r="M119" s="200">
        <f t="shared" ref="M119" si="52">(M120*1000)/M121</f>
        <v>16.065573770491802</v>
      </c>
      <c r="N119" s="200">
        <f t="shared" ref="N119" si="53">(N120*1000)/N121</f>
        <v>13.190082644628099</v>
      </c>
      <c r="O119" s="200">
        <f t="shared" ref="O119" si="54">(O120*1000)/O121</f>
        <v>10.491525423728813</v>
      </c>
      <c r="P119" s="200">
        <f t="shared" ref="P119" si="55">(P120*1000)/P121</f>
        <v>15.457627118644067</v>
      </c>
      <c r="Q119" s="200">
        <f t="shared" ref="Q119" si="56">(Q120*1000)/Q121</f>
        <v>15.140350877192983</v>
      </c>
      <c r="R119" s="203" t="s">
        <v>567</v>
      </c>
      <c r="T119" s="199">
        <f>AVERAGE(G119:R119)</f>
        <v>13.980716253852334</v>
      </c>
      <c r="V119" s="211">
        <f>T119*2000</f>
        <v>27961.432507704667</v>
      </c>
      <c r="W119" s="213" t="s">
        <v>126</v>
      </c>
      <c r="Y119" s="146"/>
      <c r="Z119" s="195"/>
      <c r="AA119" s="195"/>
      <c r="AB119" s="195"/>
      <c r="AC119" s="195"/>
    </row>
    <row r="120" spans="1:29" x14ac:dyDescent="0.15">
      <c r="A120" s="18"/>
      <c r="B120" s="315"/>
      <c r="C120" s="315"/>
      <c r="D120" s="315"/>
      <c r="E120" s="315"/>
      <c r="F120" s="789" t="s">
        <v>1039</v>
      </c>
      <c r="G120" s="199">
        <v>840</v>
      </c>
      <c r="H120" s="199">
        <v>996</v>
      </c>
      <c r="I120" s="199">
        <v>801</v>
      </c>
      <c r="J120" s="199">
        <v>1026</v>
      </c>
      <c r="K120" s="199">
        <v>798</v>
      </c>
      <c r="L120" s="199">
        <v>870</v>
      </c>
      <c r="M120" s="199">
        <v>980</v>
      </c>
      <c r="N120" s="199">
        <v>798</v>
      </c>
      <c r="O120" s="199">
        <v>619</v>
      </c>
      <c r="P120" s="199">
        <v>912</v>
      </c>
      <c r="Q120" s="199">
        <v>863</v>
      </c>
      <c r="R120" s="203" t="s">
        <v>567</v>
      </c>
      <c r="Y120" s="146"/>
      <c r="Z120" s="195"/>
      <c r="AA120" s="195"/>
      <c r="AB120" s="195"/>
      <c r="AC120" s="195"/>
    </row>
    <row r="121" spans="1:29" x14ac:dyDescent="0.15">
      <c r="A121" s="18"/>
      <c r="B121" s="315"/>
      <c r="C121" s="315"/>
      <c r="D121" s="315"/>
      <c r="E121" s="315"/>
      <c r="F121" s="789" t="s">
        <v>1040</v>
      </c>
      <c r="G121" s="199">
        <v>63800</v>
      </c>
      <c r="H121" s="199">
        <v>65300</v>
      </c>
      <c r="I121" s="199">
        <v>65800</v>
      </c>
      <c r="J121" s="199">
        <v>64800</v>
      </c>
      <c r="K121" s="199">
        <v>62000</v>
      </c>
      <c r="L121" s="199">
        <v>61500</v>
      </c>
      <c r="M121" s="199">
        <v>61000</v>
      </c>
      <c r="N121" s="199">
        <v>60500</v>
      </c>
      <c r="O121" s="199">
        <v>59000</v>
      </c>
      <c r="P121" s="199">
        <v>59000</v>
      </c>
      <c r="Q121" s="199">
        <v>57000</v>
      </c>
      <c r="R121" s="203" t="s">
        <v>567</v>
      </c>
      <c r="Y121" s="146"/>
      <c r="Z121" s="195"/>
      <c r="AA121" s="195"/>
      <c r="AB121" s="195"/>
      <c r="AC121" s="195"/>
    </row>
    <row r="122" spans="1:29" x14ac:dyDescent="0.15">
      <c r="A122" s="18" t="s">
        <v>465</v>
      </c>
      <c r="B122" s="315"/>
      <c r="C122" s="315"/>
      <c r="D122" s="315"/>
      <c r="E122" s="315"/>
      <c r="F122" s="789" t="s">
        <v>626</v>
      </c>
      <c r="G122" s="200">
        <f>(G123*1000)/G124</f>
        <v>8.7610619469026556</v>
      </c>
      <c r="H122" s="200">
        <f t="shared" ref="H122" si="57">(H123*1000)/H124</f>
        <v>8.7962962962962958</v>
      </c>
      <c r="I122" s="200">
        <f t="shared" ref="I122" si="58">(I123*1000)/I124</f>
        <v>10</v>
      </c>
      <c r="J122" s="203"/>
      <c r="K122" s="203"/>
      <c r="L122" s="203"/>
      <c r="M122" s="203"/>
      <c r="N122" s="203"/>
      <c r="O122" s="200">
        <f t="shared" ref="O122" si="59">(O123*1000)/O124</f>
        <v>13.076923076923077</v>
      </c>
      <c r="P122" s="200">
        <f t="shared" ref="P122" si="60">(P123*1000)/P124</f>
        <v>10</v>
      </c>
      <c r="Q122" s="200">
        <f t="shared" ref="Q122" si="61">(Q123*1000)/Q124</f>
        <v>8.7234042553191493</v>
      </c>
      <c r="R122" s="203" t="s">
        <v>567</v>
      </c>
      <c r="T122" s="199">
        <f>AVERAGE(G122:R122)</f>
        <v>9.8929475959068629</v>
      </c>
      <c r="V122" s="206">
        <f>T122*2000</f>
        <v>19785.895191813725</v>
      </c>
      <c r="Y122" s="146"/>
      <c r="Z122" s="195"/>
      <c r="AA122" s="195"/>
      <c r="AB122" s="195"/>
      <c r="AC122" s="195"/>
    </row>
    <row r="123" spans="1:29" x14ac:dyDescent="0.15">
      <c r="A123" s="18"/>
      <c r="B123" s="315"/>
      <c r="C123" s="315"/>
      <c r="D123" s="315"/>
      <c r="E123" s="315"/>
      <c r="F123" s="789" t="s">
        <v>1039</v>
      </c>
      <c r="G123" s="199">
        <v>99</v>
      </c>
      <c r="H123" s="199">
        <v>95</v>
      </c>
      <c r="I123" s="199">
        <v>97</v>
      </c>
      <c r="J123" s="203" t="s">
        <v>567</v>
      </c>
      <c r="K123" s="203" t="s">
        <v>567</v>
      </c>
      <c r="L123" s="203" t="s">
        <v>567</v>
      </c>
      <c r="M123" s="203" t="s">
        <v>567</v>
      </c>
      <c r="N123" s="203" t="s">
        <v>567</v>
      </c>
      <c r="O123" s="199">
        <v>68</v>
      </c>
      <c r="P123" s="199">
        <v>52</v>
      </c>
      <c r="Q123" s="199">
        <v>41</v>
      </c>
      <c r="R123" s="203" t="s">
        <v>567</v>
      </c>
      <c r="Y123" s="146"/>
      <c r="Z123" s="195"/>
      <c r="AA123" s="195"/>
      <c r="AB123" s="195"/>
      <c r="AC123" s="195"/>
    </row>
    <row r="124" spans="1:29" x14ac:dyDescent="0.15">
      <c r="A124" s="18"/>
      <c r="B124" s="315"/>
      <c r="C124" s="315"/>
      <c r="D124" s="315"/>
      <c r="E124" s="315"/>
      <c r="F124" s="789" t="s">
        <v>1040</v>
      </c>
      <c r="G124" s="199">
        <v>11300</v>
      </c>
      <c r="H124" s="199">
        <v>10800</v>
      </c>
      <c r="I124" s="199">
        <v>9700</v>
      </c>
      <c r="J124" s="203" t="s">
        <v>567</v>
      </c>
      <c r="K124" s="203" t="s">
        <v>567</v>
      </c>
      <c r="L124" s="203" t="s">
        <v>567</v>
      </c>
      <c r="M124" s="203" t="s">
        <v>567</v>
      </c>
      <c r="N124" s="203" t="s">
        <v>567</v>
      </c>
      <c r="O124" s="199">
        <v>5200</v>
      </c>
      <c r="P124" s="199">
        <v>5200</v>
      </c>
      <c r="Q124" s="199">
        <v>4700</v>
      </c>
      <c r="R124" s="203" t="s">
        <v>567</v>
      </c>
      <c r="Y124" s="146"/>
      <c r="Z124" s="195"/>
      <c r="AA124" s="195"/>
      <c r="AB124" s="195"/>
      <c r="AC124" s="195"/>
    </row>
    <row r="125" spans="1:29" x14ac:dyDescent="0.15">
      <c r="A125" s="18" t="s">
        <v>127</v>
      </c>
      <c r="B125" s="315"/>
      <c r="C125" s="315"/>
      <c r="D125" s="315"/>
      <c r="E125" s="315"/>
      <c r="F125" s="789" t="s">
        <v>626</v>
      </c>
      <c r="G125" s="200">
        <f>(G126*1000)/G127</f>
        <v>9.2857142857142865</v>
      </c>
      <c r="H125" s="200">
        <f t="shared" ref="H125" si="62">(H126*1000)/H127</f>
        <v>9.1666666666666661</v>
      </c>
      <c r="I125" s="200">
        <f t="shared" ref="I125" si="63">(I126*1000)/I127</f>
        <v>8.75</v>
      </c>
      <c r="J125" s="203"/>
      <c r="K125" s="203"/>
      <c r="L125" s="203"/>
      <c r="M125" s="203"/>
      <c r="N125" s="203"/>
      <c r="O125" s="203"/>
      <c r="P125" s="203"/>
      <c r="Q125" s="203"/>
      <c r="R125" s="203" t="s">
        <v>567</v>
      </c>
      <c r="T125" s="199">
        <f>AVERAGE(G125:R125)</f>
        <v>9.0674603174603181</v>
      </c>
      <c r="V125" s="211">
        <f>T125*2000</f>
        <v>18134.920634920636</v>
      </c>
      <c r="W125" s="213" t="s">
        <v>127</v>
      </c>
      <c r="Y125" s="146"/>
      <c r="AA125" s="313"/>
      <c r="AB125" s="313"/>
    </row>
    <row r="126" spans="1:29" x14ac:dyDescent="0.15">
      <c r="A126" s="18"/>
      <c r="B126" s="315"/>
      <c r="C126" s="315"/>
      <c r="D126" s="315"/>
      <c r="E126" s="315"/>
      <c r="F126" s="789" t="s">
        <v>1039</v>
      </c>
      <c r="G126" s="199">
        <v>26</v>
      </c>
      <c r="H126" s="199">
        <v>11</v>
      </c>
      <c r="I126" s="199">
        <v>7</v>
      </c>
      <c r="J126" s="203" t="s">
        <v>567</v>
      </c>
      <c r="K126" s="203" t="s">
        <v>567</v>
      </c>
      <c r="L126" s="203" t="s">
        <v>567</v>
      </c>
      <c r="M126" s="203" t="s">
        <v>567</v>
      </c>
      <c r="N126" s="203" t="s">
        <v>567</v>
      </c>
      <c r="O126" s="203" t="s">
        <v>567</v>
      </c>
      <c r="P126" s="203" t="s">
        <v>567</v>
      </c>
      <c r="Q126" s="203" t="s">
        <v>567</v>
      </c>
      <c r="R126" s="203" t="s">
        <v>567</v>
      </c>
      <c r="Y126" s="146"/>
      <c r="AA126" s="313"/>
      <c r="AB126" s="313"/>
    </row>
    <row r="127" spans="1:29" x14ac:dyDescent="0.15">
      <c r="A127" s="18"/>
      <c r="B127" s="315"/>
      <c r="C127" s="315"/>
      <c r="D127" s="315"/>
      <c r="E127" s="315"/>
      <c r="F127" s="789" t="s">
        <v>1040</v>
      </c>
      <c r="G127" s="199">
        <v>2800</v>
      </c>
      <c r="H127" s="199">
        <v>1200</v>
      </c>
      <c r="I127" s="199">
        <v>800</v>
      </c>
      <c r="J127" s="203" t="s">
        <v>567</v>
      </c>
      <c r="K127" s="203" t="s">
        <v>567</v>
      </c>
      <c r="L127" s="203" t="s">
        <v>567</v>
      </c>
      <c r="M127" s="203" t="s">
        <v>567</v>
      </c>
      <c r="N127" s="203" t="s">
        <v>567</v>
      </c>
      <c r="O127" s="203" t="s">
        <v>567</v>
      </c>
      <c r="P127" s="203" t="s">
        <v>567</v>
      </c>
      <c r="Q127" s="203" t="s">
        <v>567</v>
      </c>
      <c r="R127" s="203" t="s">
        <v>567</v>
      </c>
      <c r="Y127" s="146"/>
      <c r="AA127" s="313"/>
      <c r="AB127" s="313"/>
    </row>
    <row r="128" spans="1:29" x14ac:dyDescent="0.15">
      <c r="A128" s="18"/>
      <c r="B128" s="315"/>
      <c r="C128" s="315"/>
      <c r="D128" s="315"/>
      <c r="E128" s="315"/>
      <c r="F128" s="764"/>
      <c r="Y128" s="146"/>
      <c r="AA128" s="313"/>
      <c r="AB128" s="313"/>
    </row>
    <row r="129" spans="1:28" s="195" customFormat="1" ht="15" x14ac:dyDescent="0.15">
      <c r="A129" s="117" t="s">
        <v>1314</v>
      </c>
      <c r="B129" s="309"/>
      <c r="C129" s="309"/>
      <c r="D129" s="309"/>
      <c r="E129" s="309"/>
      <c r="F129" s="787"/>
      <c r="G129" s="202"/>
      <c r="H129" s="202"/>
      <c r="I129" s="202"/>
      <c r="J129" s="202"/>
      <c r="K129" s="202"/>
      <c r="L129" s="202"/>
      <c r="M129" s="202"/>
      <c r="N129" s="202"/>
      <c r="O129" s="202"/>
      <c r="P129" s="202"/>
      <c r="Q129" s="202"/>
      <c r="R129" s="202"/>
      <c r="T129" s="317"/>
      <c r="V129" s="214"/>
      <c r="X129" s="216"/>
      <c r="Y129" s="729"/>
    </row>
    <row r="130" spans="1:28" x14ac:dyDescent="0.15">
      <c r="A130" s="396" t="s">
        <v>467</v>
      </c>
      <c r="B130" s="315"/>
      <c r="C130" s="315"/>
      <c r="D130" s="315"/>
      <c r="E130" s="315"/>
      <c r="F130" s="764" t="s">
        <v>1041</v>
      </c>
      <c r="G130" s="197">
        <v>61.1</v>
      </c>
      <c r="H130" s="197">
        <v>58.1</v>
      </c>
      <c r="I130" s="197">
        <v>55</v>
      </c>
      <c r="J130" s="197">
        <v>58.9</v>
      </c>
      <c r="K130" s="197">
        <v>69.599999999999994</v>
      </c>
      <c r="L130" s="197">
        <v>64.8</v>
      </c>
      <c r="M130" s="197">
        <v>61.1</v>
      </c>
      <c r="N130" s="197">
        <v>60</v>
      </c>
      <c r="O130" s="197">
        <v>63.6</v>
      </c>
      <c r="P130" s="197">
        <v>73</v>
      </c>
      <c r="Q130" s="197">
        <v>73.099999999999994</v>
      </c>
      <c r="R130" s="201" t="s">
        <v>567</v>
      </c>
      <c r="T130" s="199">
        <f t="shared" ref="T130:T163" si="64">AVERAGE(G130:R130)</f>
        <v>63.481818181818191</v>
      </c>
      <c r="V130" s="208">
        <f>T130*X130</f>
        <v>3047.1272727272731</v>
      </c>
      <c r="W130" s="209" t="s">
        <v>255</v>
      </c>
      <c r="X130" s="207">
        <v>48</v>
      </c>
      <c r="Y130" s="43" t="s">
        <v>510</v>
      </c>
      <c r="AA130" s="313"/>
      <c r="AB130" s="313"/>
    </row>
    <row r="131" spans="1:28" x14ac:dyDescent="0.15">
      <c r="A131" s="396" t="s">
        <v>468</v>
      </c>
      <c r="B131" s="315"/>
      <c r="C131" s="315"/>
      <c r="D131" s="315"/>
      <c r="E131" s="315"/>
      <c r="F131" s="764" t="s">
        <v>1042</v>
      </c>
      <c r="G131" s="197">
        <v>1642</v>
      </c>
      <c r="H131" s="197">
        <v>1569</v>
      </c>
      <c r="I131" s="197">
        <v>1743</v>
      </c>
      <c r="J131" s="197">
        <v>1670</v>
      </c>
      <c r="K131" s="197">
        <v>1464</v>
      </c>
      <c r="L131" s="197">
        <v>1741</v>
      </c>
      <c r="M131" s="197">
        <v>1577</v>
      </c>
      <c r="N131" s="197">
        <v>1730</v>
      </c>
      <c r="O131" s="197">
        <v>1768</v>
      </c>
      <c r="P131" s="197">
        <v>1733</v>
      </c>
      <c r="Q131" s="197">
        <v>1783</v>
      </c>
      <c r="R131" s="201" t="s">
        <v>567</v>
      </c>
      <c r="T131" s="199">
        <f t="shared" si="64"/>
        <v>1674.5454545454545</v>
      </c>
      <c r="V131" s="208">
        <f t="shared" ref="V131:V149" si="65">T131</f>
        <v>1674.5454545454545</v>
      </c>
      <c r="W131" s="209" t="s">
        <v>357</v>
      </c>
      <c r="Y131" s="146"/>
      <c r="AA131" s="313"/>
      <c r="AB131" s="313"/>
    </row>
    <row r="132" spans="1:28" x14ac:dyDescent="0.15">
      <c r="A132" s="396" t="s">
        <v>469</v>
      </c>
      <c r="B132" s="315"/>
      <c r="C132" s="315"/>
      <c r="D132" s="315"/>
      <c r="E132" s="315"/>
      <c r="F132" s="764" t="s">
        <v>1042</v>
      </c>
      <c r="G132" s="197">
        <v>1508</v>
      </c>
      <c r="H132" s="197">
        <v>964</v>
      </c>
      <c r="I132" s="197">
        <v>1699</v>
      </c>
      <c r="J132" s="197">
        <v>1565</v>
      </c>
      <c r="K132" s="197">
        <v>1483</v>
      </c>
      <c r="L132" s="197">
        <v>1691</v>
      </c>
      <c r="M132" s="197">
        <v>1678</v>
      </c>
      <c r="N132" s="197">
        <v>1633</v>
      </c>
      <c r="O132" s="197">
        <v>1731</v>
      </c>
      <c r="P132" s="197">
        <v>1679</v>
      </c>
      <c r="Q132" s="201" t="s">
        <v>567</v>
      </c>
      <c r="R132" s="201" t="s">
        <v>567</v>
      </c>
      <c r="T132" s="199">
        <f t="shared" si="64"/>
        <v>1563.1</v>
      </c>
      <c r="V132" s="206">
        <f t="shared" si="65"/>
        <v>1563.1</v>
      </c>
      <c r="Y132" s="146"/>
      <c r="AA132" s="313"/>
      <c r="AB132" s="313"/>
    </row>
    <row r="133" spans="1:28" x14ac:dyDescent="0.15">
      <c r="A133" s="396" t="s">
        <v>470</v>
      </c>
      <c r="B133" s="315"/>
      <c r="C133" s="315"/>
      <c r="D133" s="315"/>
      <c r="E133" s="315"/>
      <c r="F133" s="764" t="s">
        <v>1042</v>
      </c>
      <c r="G133" s="197">
        <v>1810</v>
      </c>
      <c r="H133" s="197">
        <v>1875</v>
      </c>
      <c r="I133" s="197">
        <v>1676</v>
      </c>
      <c r="J133" s="197">
        <v>1703</v>
      </c>
      <c r="K133" s="197">
        <v>1518</v>
      </c>
      <c r="L133" s="197">
        <v>1888</v>
      </c>
      <c r="M133" s="197">
        <v>1813</v>
      </c>
      <c r="N133" s="197">
        <v>1834</v>
      </c>
      <c r="O133" s="197">
        <v>1443</v>
      </c>
      <c r="P133" s="197">
        <v>1698</v>
      </c>
      <c r="Q133" s="201" t="s">
        <v>567</v>
      </c>
      <c r="R133" s="201" t="s">
        <v>567</v>
      </c>
      <c r="T133" s="199">
        <f t="shared" si="64"/>
        <v>1725.8</v>
      </c>
      <c r="V133" s="206">
        <f t="shared" si="65"/>
        <v>1725.8</v>
      </c>
      <c r="Y133" s="146"/>
      <c r="AA133" s="313"/>
      <c r="AB133" s="313"/>
    </row>
    <row r="134" spans="1:28" x14ac:dyDescent="0.15">
      <c r="A134" s="396" t="s">
        <v>471</v>
      </c>
      <c r="B134" s="315"/>
      <c r="C134" s="315"/>
      <c r="D134" s="315"/>
      <c r="E134" s="315"/>
      <c r="F134" s="764" t="s">
        <v>1042</v>
      </c>
      <c r="G134" s="197">
        <v>1268</v>
      </c>
      <c r="H134" s="197">
        <v>1254</v>
      </c>
      <c r="I134" s="197">
        <v>1162</v>
      </c>
      <c r="J134" s="197">
        <v>1007</v>
      </c>
      <c r="K134" s="197">
        <v>1366</v>
      </c>
      <c r="L134" s="197">
        <v>1229</v>
      </c>
      <c r="M134" s="197">
        <v>1158</v>
      </c>
      <c r="N134" s="197">
        <v>1249</v>
      </c>
      <c r="O134" s="197">
        <v>1364</v>
      </c>
      <c r="P134" s="197">
        <v>1538</v>
      </c>
      <c r="Q134" s="201" t="s">
        <v>567</v>
      </c>
      <c r="R134" s="201" t="s">
        <v>567</v>
      </c>
      <c r="T134" s="199">
        <f t="shared" si="64"/>
        <v>1259.5</v>
      </c>
      <c r="V134" s="206">
        <f t="shared" si="65"/>
        <v>1259.5</v>
      </c>
      <c r="Y134" s="146"/>
      <c r="AA134" s="313"/>
      <c r="AB134" s="313"/>
    </row>
    <row r="135" spans="1:28" x14ac:dyDescent="0.15">
      <c r="A135" s="396" t="s">
        <v>472</v>
      </c>
      <c r="B135" s="315"/>
      <c r="C135" s="315"/>
      <c r="D135" s="315"/>
      <c r="E135" s="315"/>
      <c r="F135" s="764" t="s">
        <v>1042</v>
      </c>
      <c r="G135" s="201" t="s">
        <v>567</v>
      </c>
      <c r="H135" s="201" t="s">
        <v>567</v>
      </c>
      <c r="I135" s="201" t="s">
        <v>567</v>
      </c>
      <c r="J135" s="197">
        <v>997</v>
      </c>
      <c r="K135" s="197">
        <v>1371</v>
      </c>
      <c r="L135" s="197">
        <v>1194</v>
      </c>
      <c r="M135" s="197">
        <v>1192</v>
      </c>
      <c r="N135" s="197">
        <v>1254</v>
      </c>
      <c r="O135" s="197">
        <v>1389</v>
      </c>
      <c r="P135" s="197">
        <v>1586</v>
      </c>
      <c r="Q135" s="201" t="s">
        <v>567</v>
      </c>
      <c r="R135" s="201" t="s">
        <v>567</v>
      </c>
      <c r="T135" s="199">
        <f t="shared" si="64"/>
        <v>1283.2857142857142</v>
      </c>
      <c r="V135" s="206">
        <f t="shared" si="65"/>
        <v>1283.2857142857142</v>
      </c>
      <c r="Y135" s="146"/>
      <c r="AA135" s="313"/>
      <c r="AB135" s="313"/>
    </row>
    <row r="136" spans="1:28" x14ac:dyDescent="0.15">
      <c r="A136" s="396" t="s">
        <v>473</v>
      </c>
      <c r="B136" s="315"/>
      <c r="C136" s="315"/>
      <c r="D136" s="315"/>
      <c r="E136" s="315"/>
      <c r="F136" s="764" t="s">
        <v>1042</v>
      </c>
      <c r="G136" s="201" t="s">
        <v>567</v>
      </c>
      <c r="H136" s="201" t="s">
        <v>567</v>
      </c>
      <c r="I136" s="201" t="s">
        <v>567</v>
      </c>
      <c r="J136" s="197">
        <v>1071</v>
      </c>
      <c r="K136" s="197">
        <v>1333</v>
      </c>
      <c r="L136" s="197">
        <v>1505</v>
      </c>
      <c r="M136" s="197">
        <v>914</v>
      </c>
      <c r="N136" s="197">
        <v>1194</v>
      </c>
      <c r="O136" s="197">
        <v>1183</v>
      </c>
      <c r="P136" s="197">
        <v>1378</v>
      </c>
      <c r="Q136" s="201" t="s">
        <v>567</v>
      </c>
      <c r="R136" s="201" t="s">
        <v>567</v>
      </c>
      <c r="T136" s="199">
        <f t="shared" si="64"/>
        <v>1225.4285714285713</v>
      </c>
      <c r="V136" s="206">
        <f t="shared" si="65"/>
        <v>1225.4285714285713</v>
      </c>
      <c r="Y136" s="146"/>
      <c r="AA136" s="313"/>
      <c r="AB136" s="313"/>
    </row>
    <row r="137" spans="1:28" x14ac:dyDescent="0.15">
      <c r="A137" s="396" t="s">
        <v>474</v>
      </c>
      <c r="B137" s="315"/>
      <c r="C137" s="315"/>
      <c r="D137" s="315"/>
      <c r="E137" s="315"/>
      <c r="F137" s="764" t="s">
        <v>1042</v>
      </c>
      <c r="G137" s="197">
        <v>1477</v>
      </c>
      <c r="H137" s="197">
        <v>886</v>
      </c>
      <c r="I137" s="197">
        <v>1547</v>
      </c>
      <c r="J137" s="197">
        <v>1234</v>
      </c>
      <c r="K137" s="197">
        <v>1475</v>
      </c>
      <c r="L137" s="197">
        <v>1434</v>
      </c>
      <c r="M137" s="197">
        <v>1536</v>
      </c>
      <c r="N137" s="197">
        <v>1459</v>
      </c>
      <c r="O137" s="197">
        <v>1584</v>
      </c>
      <c r="P137" s="197">
        <v>1556</v>
      </c>
      <c r="Q137" s="201" t="s">
        <v>567</v>
      </c>
      <c r="R137" s="201" t="s">
        <v>567</v>
      </c>
      <c r="T137" s="199">
        <f t="shared" si="64"/>
        <v>1418.8</v>
      </c>
      <c r="V137" s="206">
        <f t="shared" si="65"/>
        <v>1418.8</v>
      </c>
      <c r="Y137" s="146"/>
      <c r="AA137" s="313"/>
      <c r="AB137" s="313"/>
    </row>
    <row r="138" spans="1:28" x14ac:dyDescent="0.15">
      <c r="A138" s="396" t="s">
        <v>475</v>
      </c>
      <c r="B138" s="315"/>
      <c r="C138" s="315"/>
      <c r="D138" s="315"/>
      <c r="E138" s="315"/>
      <c r="F138" s="764" t="s">
        <v>1042</v>
      </c>
      <c r="G138" s="197">
        <v>1622</v>
      </c>
      <c r="H138" s="197">
        <v>1394</v>
      </c>
      <c r="I138" s="197">
        <v>1732</v>
      </c>
      <c r="J138" s="197">
        <v>1746</v>
      </c>
      <c r="K138" s="197">
        <v>1472</v>
      </c>
      <c r="L138" s="197">
        <v>1807</v>
      </c>
      <c r="M138" s="197">
        <v>1776</v>
      </c>
      <c r="N138" s="197">
        <v>1696</v>
      </c>
      <c r="O138" s="197">
        <v>2012</v>
      </c>
      <c r="P138" s="197">
        <v>1797</v>
      </c>
      <c r="Q138" s="201" t="s">
        <v>567</v>
      </c>
      <c r="R138" s="201" t="s">
        <v>567</v>
      </c>
      <c r="T138" s="199">
        <f t="shared" si="64"/>
        <v>1705.4</v>
      </c>
      <c r="V138" s="206">
        <f t="shared" si="65"/>
        <v>1705.4</v>
      </c>
      <c r="Y138" s="146"/>
      <c r="AA138" s="313"/>
      <c r="AB138" s="313"/>
    </row>
    <row r="139" spans="1:28" x14ac:dyDescent="0.15">
      <c r="A139" s="396" t="s">
        <v>476</v>
      </c>
      <c r="B139" s="315"/>
      <c r="C139" s="315"/>
      <c r="D139" s="315"/>
      <c r="E139" s="315"/>
      <c r="F139" s="764" t="s">
        <v>1042</v>
      </c>
      <c r="G139" s="197">
        <v>2029</v>
      </c>
      <c r="H139" s="197">
        <v>2136</v>
      </c>
      <c r="I139" s="197">
        <v>1884</v>
      </c>
      <c r="J139" s="197">
        <v>2135</v>
      </c>
      <c r="K139" s="197">
        <v>2032</v>
      </c>
      <c r="L139" s="197">
        <v>2226</v>
      </c>
      <c r="M139" s="197">
        <v>2007</v>
      </c>
      <c r="N139" s="197">
        <v>2081</v>
      </c>
      <c r="O139" s="197">
        <v>2248</v>
      </c>
      <c r="P139" s="197">
        <v>2068</v>
      </c>
      <c r="Q139" s="201" t="s">
        <v>567</v>
      </c>
      <c r="R139" s="201" t="s">
        <v>567</v>
      </c>
      <c r="T139" s="199">
        <f t="shared" si="64"/>
        <v>2084.6</v>
      </c>
      <c r="V139" s="206">
        <f t="shared" si="65"/>
        <v>2084.6</v>
      </c>
      <c r="Y139" s="146"/>
      <c r="AA139" s="313"/>
      <c r="AB139" s="313"/>
    </row>
    <row r="140" spans="1:28" x14ac:dyDescent="0.15">
      <c r="A140" s="396" t="s">
        <v>477</v>
      </c>
      <c r="B140" s="315"/>
      <c r="C140" s="315"/>
      <c r="D140" s="315"/>
      <c r="E140" s="315"/>
      <c r="F140" s="764" t="s">
        <v>1042</v>
      </c>
      <c r="G140" s="197">
        <v>1680</v>
      </c>
      <c r="H140" s="197">
        <v>1315</v>
      </c>
      <c r="I140" s="197">
        <v>1799</v>
      </c>
      <c r="J140" s="197">
        <v>1708</v>
      </c>
      <c r="K140" s="197">
        <v>1584</v>
      </c>
      <c r="L140" s="197">
        <v>1612</v>
      </c>
      <c r="M140" s="197">
        <v>1887</v>
      </c>
      <c r="N140" s="197">
        <v>1767</v>
      </c>
      <c r="O140" s="197">
        <v>1887</v>
      </c>
      <c r="P140" s="197">
        <v>1845</v>
      </c>
      <c r="Q140" s="201" t="s">
        <v>567</v>
      </c>
      <c r="R140" s="201" t="s">
        <v>567</v>
      </c>
      <c r="T140" s="199">
        <f t="shared" si="64"/>
        <v>1708.4</v>
      </c>
      <c r="V140" s="206">
        <f t="shared" si="65"/>
        <v>1708.4</v>
      </c>
      <c r="Y140" s="146"/>
    </row>
    <row r="141" spans="1:28" x14ac:dyDescent="0.15">
      <c r="A141" s="396" t="s">
        <v>478</v>
      </c>
      <c r="B141" s="315"/>
      <c r="C141" s="315"/>
      <c r="D141" s="315"/>
      <c r="E141" s="315"/>
      <c r="F141" s="764" t="s">
        <v>1042</v>
      </c>
      <c r="G141" s="197">
        <v>2310</v>
      </c>
      <c r="H141" s="197">
        <v>2040</v>
      </c>
      <c r="I141" s="197">
        <v>2390</v>
      </c>
      <c r="J141" s="197">
        <v>2300</v>
      </c>
      <c r="K141" s="197">
        <v>2450</v>
      </c>
      <c r="L141" s="197">
        <v>2350</v>
      </c>
      <c r="M141" s="197">
        <v>2340</v>
      </c>
      <c r="N141" s="197">
        <v>2420</v>
      </c>
      <c r="O141" s="197">
        <v>2040</v>
      </c>
      <c r="P141" s="197">
        <v>2410</v>
      </c>
      <c r="Q141" s="201" t="s">
        <v>567</v>
      </c>
      <c r="R141" s="201" t="s">
        <v>567</v>
      </c>
      <c r="T141" s="199">
        <f t="shared" si="64"/>
        <v>2305</v>
      </c>
      <c r="V141" s="206">
        <f t="shared" si="65"/>
        <v>2305</v>
      </c>
      <c r="Y141" s="146"/>
    </row>
    <row r="142" spans="1:28" x14ac:dyDescent="0.15">
      <c r="A142" s="396" t="s">
        <v>479</v>
      </c>
      <c r="B142" s="315"/>
      <c r="C142" s="315"/>
      <c r="D142" s="315"/>
      <c r="E142" s="315"/>
      <c r="F142" s="764" t="s">
        <v>1042</v>
      </c>
      <c r="G142" s="197">
        <v>2240</v>
      </c>
      <c r="H142" s="197">
        <v>2250</v>
      </c>
      <c r="I142" s="197">
        <v>1840</v>
      </c>
      <c r="J142" s="197">
        <v>1940</v>
      </c>
      <c r="K142" s="197">
        <v>2100</v>
      </c>
      <c r="L142" s="197">
        <v>2390</v>
      </c>
      <c r="M142" s="197">
        <v>1910</v>
      </c>
      <c r="N142" s="197">
        <v>2140</v>
      </c>
      <c r="O142" s="197">
        <v>2050</v>
      </c>
      <c r="P142" s="197">
        <v>2330</v>
      </c>
      <c r="Q142" s="201" t="s">
        <v>567</v>
      </c>
      <c r="R142" s="201" t="s">
        <v>567</v>
      </c>
      <c r="T142" s="199">
        <f t="shared" si="64"/>
        <v>2119</v>
      </c>
      <c r="V142" s="206">
        <f t="shared" si="65"/>
        <v>2119</v>
      </c>
      <c r="Y142" s="146"/>
    </row>
    <row r="143" spans="1:28" x14ac:dyDescent="0.15">
      <c r="A143" s="396" t="s">
        <v>480</v>
      </c>
      <c r="B143" s="315"/>
      <c r="C143" s="315"/>
      <c r="D143" s="315"/>
      <c r="E143" s="315"/>
      <c r="F143" s="764" t="s">
        <v>1042</v>
      </c>
      <c r="G143" s="197">
        <v>1554</v>
      </c>
      <c r="H143" s="197">
        <v>1411</v>
      </c>
      <c r="I143" s="197">
        <v>1751</v>
      </c>
      <c r="J143" s="197">
        <v>1666</v>
      </c>
      <c r="K143" s="197">
        <v>1318</v>
      </c>
      <c r="L143" s="197">
        <v>1788</v>
      </c>
      <c r="M143" s="197">
        <v>1649</v>
      </c>
      <c r="N143" s="197">
        <v>1814</v>
      </c>
      <c r="O143" s="197">
        <v>1876</v>
      </c>
      <c r="P143" s="197">
        <v>1787</v>
      </c>
      <c r="Q143" s="201" t="s">
        <v>567</v>
      </c>
      <c r="R143" s="201" t="s">
        <v>567</v>
      </c>
      <c r="T143" s="199">
        <f t="shared" si="64"/>
        <v>1661.4</v>
      </c>
      <c r="V143" s="206">
        <f t="shared" si="65"/>
        <v>1661.4</v>
      </c>
      <c r="Y143" s="146"/>
    </row>
    <row r="144" spans="1:28" x14ac:dyDescent="0.15">
      <c r="A144" s="396" t="s">
        <v>481</v>
      </c>
      <c r="B144" s="315"/>
      <c r="C144" s="315"/>
      <c r="D144" s="315"/>
      <c r="E144" s="315"/>
      <c r="F144" s="764" t="s">
        <v>1042</v>
      </c>
      <c r="G144" s="197">
        <v>1466</v>
      </c>
      <c r="H144" s="197">
        <v>1449</v>
      </c>
      <c r="I144" s="197">
        <v>1584</v>
      </c>
      <c r="J144" s="197">
        <v>1350</v>
      </c>
      <c r="K144" s="197">
        <v>1510</v>
      </c>
      <c r="L144" s="197">
        <v>1595</v>
      </c>
      <c r="M144" s="197">
        <v>1713</v>
      </c>
      <c r="N144" s="197">
        <v>1715</v>
      </c>
      <c r="O144" s="197">
        <v>1801</v>
      </c>
      <c r="P144" s="197">
        <v>1825</v>
      </c>
      <c r="Q144" s="201" t="s">
        <v>567</v>
      </c>
      <c r="R144" s="201" t="s">
        <v>567</v>
      </c>
      <c r="T144" s="199">
        <f t="shared" si="64"/>
        <v>1600.8</v>
      </c>
      <c r="V144" s="206">
        <f t="shared" si="65"/>
        <v>1600.8</v>
      </c>
      <c r="Y144" s="146"/>
    </row>
    <row r="145" spans="1:25" x14ac:dyDescent="0.15">
      <c r="A145" s="396" t="s">
        <v>482</v>
      </c>
      <c r="B145" s="315"/>
      <c r="C145" s="315"/>
      <c r="D145" s="315"/>
      <c r="E145" s="315"/>
      <c r="F145" s="764" t="s">
        <v>1042</v>
      </c>
      <c r="G145" s="197">
        <v>1829</v>
      </c>
      <c r="H145" s="197">
        <v>1743</v>
      </c>
      <c r="I145" s="197">
        <v>1801</v>
      </c>
      <c r="J145" s="197">
        <v>1962</v>
      </c>
      <c r="K145" s="197">
        <v>1841</v>
      </c>
      <c r="L145" s="197">
        <v>1849</v>
      </c>
      <c r="M145" s="197">
        <v>1684</v>
      </c>
      <c r="N145" s="197">
        <v>1933</v>
      </c>
      <c r="O145" s="197">
        <v>1844</v>
      </c>
      <c r="P145" s="197">
        <v>1841</v>
      </c>
      <c r="Q145" s="201" t="s">
        <v>567</v>
      </c>
      <c r="R145" s="201" t="s">
        <v>567</v>
      </c>
      <c r="T145" s="199">
        <f t="shared" si="64"/>
        <v>1832.7</v>
      </c>
      <c r="V145" s="206">
        <f t="shared" si="65"/>
        <v>1832.7</v>
      </c>
      <c r="Y145" s="146"/>
    </row>
    <row r="146" spans="1:25" x14ac:dyDescent="0.15">
      <c r="A146" s="396" t="s">
        <v>483</v>
      </c>
      <c r="B146" s="315"/>
      <c r="C146" s="315"/>
      <c r="D146" s="315"/>
      <c r="E146" s="315"/>
      <c r="F146" s="764" t="s">
        <v>1042</v>
      </c>
      <c r="G146" s="197">
        <v>1653</v>
      </c>
      <c r="H146" s="197">
        <v>1718</v>
      </c>
      <c r="I146" s="197">
        <v>1777</v>
      </c>
      <c r="J146" s="197">
        <v>1635</v>
      </c>
      <c r="K146" s="197">
        <v>1362</v>
      </c>
      <c r="L146" s="197">
        <v>1723</v>
      </c>
      <c r="M146" s="197">
        <v>1471</v>
      </c>
      <c r="N146" s="197">
        <v>1746</v>
      </c>
      <c r="O146" s="197">
        <v>1690</v>
      </c>
      <c r="P146" s="197">
        <v>1667</v>
      </c>
      <c r="Q146" s="201" t="s">
        <v>567</v>
      </c>
      <c r="R146" s="201" t="s">
        <v>567</v>
      </c>
      <c r="T146" s="199">
        <f t="shared" si="64"/>
        <v>1644.2</v>
      </c>
      <c r="V146" s="206">
        <f t="shared" si="65"/>
        <v>1644.2</v>
      </c>
      <c r="Y146" s="146"/>
    </row>
    <row r="147" spans="1:25" x14ac:dyDescent="0.15">
      <c r="A147" s="396" t="s">
        <v>484</v>
      </c>
      <c r="B147" s="315"/>
      <c r="C147" s="315"/>
      <c r="D147" s="315"/>
      <c r="E147" s="315"/>
      <c r="F147" s="764" t="s">
        <v>1042</v>
      </c>
      <c r="G147" s="197">
        <v>1820</v>
      </c>
      <c r="H147" s="197">
        <v>1303</v>
      </c>
      <c r="I147" s="197">
        <v>1947</v>
      </c>
      <c r="J147" s="197">
        <v>1771</v>
      </c>
      <c r="K147" s="197">
        <v>1884</v>
      </c>
      <c r="L147" s="197">
        <v>1824</v>
      </c>
      <c r="M147" s="197">
        <v>1887</v>
      </c>
      <c r="N147" s="197">
        <v>1808</v>
      </c>
      <c r="O147" s="197">
        <v>1971</v>
      </c>
      <c r="P147" s="197">
        <v>2050</v>
      </c>
      <c r="Q147" s="201" t="s">
        <v>567</v>
      </c>
      <c r="R147" s="201" t="s">
        <v>567</v>
      </c>
      <c r="T147" s="199">
        <f t="shared" si="64"/>
        <v>1826.5</v>
      </c>
      <c r="V147" s="206">
        <f t="shared" si="65"/>
        <v>1826.5</v>
      </c>
      <c r="Y147" s="146"/>
    </row>
    <row r="148" spans="1:25" x14ac:dyDescent="0.15">
      <c r="A148" s="396" t="s">
        <v>485</v>
      </c>
      <c r="B148" s="315"/>
      <c r="C148" s="315"/>
      <c r="D148" s="315"/>
      <c r="E148" s="315"/>
      <c r="F148" s="764" t="s">
        <v>1042</v>
      </c>
      <c r="G148" s="197">
        <v>2207</v>
      </c>
      <c r="H148" s="197">
        <v>2167</v>
      </c>
      <c r="I148" s="197">
        <v>2125</v>
      </c>
      <c r="J148" s="197">
        <v>2115</v>
      </c>
      <c r="K148" s="197">
        <v>2357</v>
      </c>
      <c r="L148" s="197">
        <v>2136</v>
      </c>
      <c r="M148" s="197">
        <v>2190</v>
      </c>
      <c r="N148" s="197">
        <v>2500</v>
      </c>
      <c r="O148" s="201" t="s">
        <v>567</v>
      </c>
      <c r="P148" s="197">
        <v>2290</v>
      </c>
      <c r="Q148" s="201" t="s">
        <v>567</v>
      </c>
      <c r="R148" s="201" t="s">
        <v>567</v>
      </c>
      <c r="T148" s="199">
        <f t="shared" si="64"/>
        <v>2231.8888888888887</v>
      </c>
      <c r="V148" s="206">
        <f t="shared" si="65"/>
        <v>2231.8888888888887</v>
      </c>
      <c r="Y148" s="146"/>
    </row>
    <row r="149" spans="1:25" x14ac:dyDescent="0.15">
      <c r="A149" s="396" t="s">
        <v>486</v>
      </c>
      <c r="B149" s="315"/>
      <c r="C149" s="315"/>
      <c r="D149" s="315"/>
      <c r="E149" s="315"/>
      <c r="F149" s="764"/>
      <c r="G149" s="197">
        <v>1334</v>
      </c>
      <c r="H149" s="197">
        <v>1374</v>
      </c>
      <c r="I149" s="197">
        <v>1197</v>
      </c>
      <c r="J149" s="197">
        <v>1416</v>
      </c>
      <c r="K149" s="197">
        <v>1618</v>
      </c>
      <c r="L149" s="197">
        <v>1419</v>
      </c>
      <c r="M149" s="197">
        <v>1366</v>
      </c>
      <c r="N149" s="197">
        <v>1238</v>
      </c>
      <c r="O149" s="197">
        <v>1461</v>
      </c>
      <c r="P149" s="197">
        <v>1811</v>
      </c>
      <c r="Q149" s="197">
        <v>1786</v>
      </c>
      <c r="R149" s="201" t="s">
        <v>567</v>
      </c>
      <c r="T149" s="199">
        <f t="shared" si="64"/>
        <v>1456.3636363636363</v>
      </c>
      <c r="V149" s="282">
        <f t="shared" si="65"/>
        <v>1456.3636363636363</v>
      </c>
      <c r="W149" s="283" t="s">
        <v>628</v>
      </c>
      <c r="Y149" s="146"/>
    </row>
    <row r="150" spans="1:25" x14ac:dyDescent="0.15">
      <c r="A150" s="396" t="s">
        <v>487</v>
      </c>
      <c r="B150" s="315"/>
      <c r="C150" s="315"/>
      <c r="D150" s="315"/>
      <c r="E150" s="315"/>
      <c r="F150" s="764" t="s">
        <v>1041</v>
      </c>
      <c r="G150" s="197">
        <v>136.9</v>
      </c>
      <c r="H150" s="197">
        <v>138.19999999999999</v>
      </c>
      <c r="I150" s="197">
        <v>129.30000000000001</v>
      </c>
      <c r="J150" s="197">
        <v>142.19999999999999</v>
      </c>
      <c r="K150" s="197">
        <v>160.30000000000001</v>
      </c>
      <c r="L150" s="197">
        <v>147.9</v>
      </c>
      <c r="M150" s="197">
        <v>149.1</v>
      </c>
      <c r="N150" s="197">
        <v>150.69999999999999</v>
      </c>
      <c r="O150" s="197">
        <v>153.9</v>
      </c>
      <c r="P150" s="197">
        <v>164.7</v>
      </c>
      <c r="Q150" s="197">
        <v>154.30000000000001</v>
      </c>
      <c r="R150" s="201" t="s">
        <v>567</v>
      </c>
      <c r="T150" s="199">
        <f t="shared" si="64"/>
        <v>147.95454545454547</v>
      </c>
      <c r="V150" s="208">
        <f>T150*X150</f>
        <v>8285.454545454546</v>
      </c>
      <c r="W150" s="209" t="s">
        <v>38</v>
      </c>
      <c r="X150" s="207">
        <v>56</v>
      </c>
      <c r="Y150" s="43" t="s">
        <v>510</v>
      </c>
    </row>
    <row r="151" spans="1:25" x14ac:dyDescent="0.15">
      <c r="A151" s="396" t="s">
        <v>488</v>
      </c>
      <c r="B151" s="315"/>
      <c r="C151" s="315"/>
      <c r="D151" s="315"/>
      <c r="E151" s="315"/>
      <c r="F151" s="764" t="s">
        <v>327</v>
      </c>
      <c r="G151" s="197">
        <v>16.8</v>
      </c>
      <c r="H151" s="197">
        <v>16.600000000000001</v>
      </c>
      <c r="I151" s="197">
        <v>14.4</v>
      </c>
      <c r="J151" s="197">
        <v>16.3</v>
      </c>
      <c r="K151" s="197">
        <v>17.600000000000001</v>
      </c>
      <c r="L151" s="197">
        <v>18</v>
      </c>
      <c r="M151" s="197">
        <v>16.2</v>
      </c>
      <c r="N151" s="197">
        <v>17.5</v>
      </c>
      <c r="O151" s="197">
        <v>18.7</v>
      </c>
      <c r="P151" s="197">
        <v>19.3</v>
      </c>
      <c r="Q151" s="201" t="s">
        <v>567</v>
      </c>
      <c r="R151" s="201" t="s">
        <v>567</v>
      </c>
      <c r="T151" s="199">
        <f t="shared" si="64"/>
        <v>17.140000000000004</v>
      </c>
      <c r="V151" s="211">
        <f>T151*2000</f>
        <v>34280.000000000007</v>
      </c>
      <c r="W151" s="212" t="s">
        <v>591</v>
      </c>
      <c r="Y151" s="146"/>
    </row>
    <row r="152" spans="1:25" x14ac:dyDescent="0.15">
      <c r="A152" s="396" t="s">
        <v>489</v>
      </c>
      <c r="B152" s="315"/>
      <c r="C152" s="315"/>
      <c r="D152" s="315"/>
      <c r="E152" s="315"/>
      <c r="F152" s="764" t="s">
        <v>1043</v>
      </c>
      <c r="G152" s="197">
        <v>1.95</v>
      </c>
      <c r="H152" s="197">
        <v>1.92</v>
      </c>
      <c r="I152" s="197">
        <v>1.86</v>
      </c>
      <c r="J152" s="197">
        <v>2.04</v>
      </c>
      <c r="K152" s="197">
        <v>2.06</v>
      </c>
      <c r="L152" s="197">
        <v>1.91</v>
      </c>
      <c r="M152" s="197">
        <v>1.78</v>
      </c>
      <c r="N152" s="197">
        <v>1.93</v>
      </c>
      <c r="O152" s="197">
        <v>1.95</v>
      </c>
      <c r="P152" s="197">
        <v>1.98</v>
      </c>
      <c r="Q152" s="201" t="s">
        <v>567</v>
      </c>
      <c r="R152" s="201" t="s">
        <v>567</v>
      </c>
      <c r="T152" s="199">
        <f t="shared" si="64"/>
        <v>1.9379999999999999</v>
      </c>
      <c r="V152" s="270">
        <f>T152*2000</f>
        <v>3876</v>
      </c>
      <c r="W152" s="271" t="s">
        <v>1216</v>
      </c>
      <c r="Y152" s="146"/>
    </row>
    <row r="153" spans="1:25" x14ac:dyDescent="0.15">
      <c r="A153" s="396" t="s">
        <v>490</v>
      </c>
      <c r="B153" s="315"/>
      <c r="C153" s="315"/>
      <c r="D153" s="315"/>
      <c r="E153" s="315"/>
      <c r="F153" s="764" t="s">
        <v>327</v>
      </c>
      <c r="G153" s="197">
        <v>3.47</v>
      </c>
      <c r="H153" s="197">
        <v>3.35</v>
      </c>
      <c r="I153" s="197">
        <v>3.19</v>
      </c>
      <c r="J153" s="197">
        <v>3.23</v>
      </c>
      <c r="K153" s="197">
        <v>3.47</v>
      </c>
      <c r="L153" s="197">
        <v>3.38</v>
      </c>
      <c r="M153" s="197">
        <v>3.34</v>
      </c>
      <c r="N153" s="197">
        <v>3.31</v>
      </c>
      <c r="O153" s="197">
        <v>3.33</v>
      </c>
      <c r="P153" s="197">
        <v>3.35</v>
      </c>
      <c r="Q153" s="197">
        <v>3.44</v>
      </c>
      <c r="R153" s="201" t="s">
        <v>567</v>
      </c>
      <c r="T153" s="199">
        <f t="shared" si="64"/>
        <v>3.3509090909090911</v>
      </c>
      <c r="V153" s="208">
        <f>T153*2000</f>
        <v>6701.818181818182</v>
      </c>
      <c r="W153" s="209" t="s">
        <v>1315</v>
      </c>
      <c r="Y153" s="146"/>
    </row>
    <row r="154" spans="1:25" x14ac:dyDescent="0.15">
      <c r="A154" s="396" t="s">
        <v>491</v>
      </c>
      <c r="B154" s="315"/>
      <c r="C154" s="315"/>
      <c r="D154" s="315"/>
      <c r="E154" s="315"/>
      <c r="F154" s="764" t="s">
        <v>1042</v>
      </c>
      <c r="G154" s="197">
        <v>1415</v>
      </c>
      <c r="H154" s="197">
        <v>1471</v>
      </c>
      <c r="I154" s="197">
        <v>1196</v>
      </c>
      <c r="J154" s="197">
        <v>1030</v>
      </c>
      <c r="K154" s="197">
        <v>1271</v>
      </c>
      <c r="L154" s="197">
        <v>1195</v>
      </c>
      <c r="M154" s="197">
        <v>797</v>
      </c>
      <c r="N154" s="197">
        <v>1237</v>
      </c>
      <c r="O154" s="197">
        <v>917</v>
      </c>
      <c r="P154" s="197">
        <v>1440</v>
      </c>
      <c r="Q154" s="197">
        <v>1393</v>
      </c>
      <c r="R154" s="201" t="s">
        <v>567</v>
      </c>
      <c r="T154" s="199">
        <f t="shared" si="64"/>
        <v>1214.7272727272727</v>
      </c>
      <c r="V154" s="208">
        <f>T154</f>
        <v>1214.7272727272727</v>
      </c>
      <c r="W154" s="209" t="s">
        <v>1316</v>
      </c>
      <c r="Y154" s="146"/>
    </row>
    <row r="155" spans="1:25" x14ac:dyDescent="0.15">
      <c r="A155" s="396" t="s">
        <v>492</v>
      </c>
      <c r="B155" s="315"/>
      <c r="C155" s="315"/>
      <c r="D155" s="315"/>
      <c r="E155" s="315"/>
      <c r="F155" s="764" t="s">
        <v>1041</v>
      </c>
      <c r="G155" s="197">
        <v>64.2</v>
      </c>
      <c r="H155" s="197">
        <v>61.5</v>
      </c>
      <c r="I155" s="197">
        <v>56.4</v>
      </c>
      <c r="J155" s="197">
        <v>65</v>
      </c>
      <c r="K155" s="197">
        <v>64.7</v>
      </c>
      <c r="L155" s="197">
        <v>63</v>
      </c>
      <c r="M155" s="197">
        <v>59.8</v>
      </c>
      <c r="N155" s="197">
        <v>60.1</v>
      </c>
      <c r="O155" s="197">
        <v>63.7</v>
      </c>
      <c r="P155" s="197">
        <v>67.5</v>
      </c>
      <c r="Q155" s="197">
        <v>64.3</v>
      </c>
      <c r="R155" s="201" t="s">
        <v>567</v>
      </c>
      <c r="T155" s="199">
        <f t="shared" si="64"/>
        <v>62.74545454545455</v>
      </c>
      <c r="V155" s="208">
        <f>T155*X155</f>
        <v>2007.8545454545456</v>
      </c>
      <c r="W155" s="209" t="s">
        <v>254</v>
      </c>
      <c r="X155" s="207">
        <v>32</v>
      </c>
      <c r="Y155" s="43" t="s">
        <v>511</v>
      </c>
    </row>
    <row r="156" spans="1:25" x14ac:dyDescent="0.15">
      <c r="A156" s="396" t="s">
        <v>493</v>
      </c>
      <c r="B156" s="315"/>
      <c r="C156" s="315"/>
      <c r="D156" s="315"/>
      <c r="E156" s="315"/>
      <c r="F156" s="764" t="s">
        <v>1042</v>
      </c>
      <c r="G156" s="197">
        <v>2444</v>
      </c>
      <c r="H156" s="197">
        <v>3029</v>
      </c>
      <c r="I156" s="197">
        <v>2571</v>
      </c>
      <c r="J156" s="197">
        <v>3159</v>
      </c>
      <c r="K156" s="197">
        <v>3076</v>
      </c>
      <c r="L156" s="197">
        <v>2989</v>
      </c>
      <c r="M156" s="197">
        <v>2863</v>
      </c>
      <c r="N156" s="197">
        <v>3073</v>
      </c>
      <c r="O156" s="197">
        <v>3426</v>
      </c>
      <c r="P156" s="197">
        <v>3421</v>
      </c>
      <c r="Q156" s="197">
        <v>3142</v>
      </c>
      <c r="R156" s="201" t="s">
        <v>567</v>
      </c>
      <c r="T156" s="199">
        <f t="shared" si="64"/>
        <v>3017.5454545454545</v>
      </c>
      <c r="V156" s="208">
        <f>T156</f>
        <v>3017.5454545454545</v>
      </c>
      <c r="W156" s="209" t="s">
        <v>609</v>
      </c>
      <c r="Y156" s="146"/>
    </row>
    <row r="157" spans="1:25" x14ac:dyDescent="0.15">
      <c r="A157" s="396" t="s">
        <v>494</v>
      </c>
      <c r="B157" s="315"/>
      <c r="C157" s="315"/>
      <c r="D157" s="315"/>
      <c r="E157" s="315"/>
      <c r="F157" s="764" t="s">
        <v>1042</v>
      </c>
      <c r="G157" s="197">
        <v>1974</v>
      </c>
      <c r="H157" s="197">
        <v>1957</v>
      </c>
      <c r="I157" s="197">
        <v>1656</v>
      </c>
      <c r="J157" s="197">
        <v>1584</v>
      </c>
      <c r="K157" s="197">
        <v>2249</v>
      </c>
      <c r="L157" s="197">
        <v>1828</v>
      </c>
      <c r="M157" s="197">
        <v>1493</v>
      </c>
      <c r="N157" s="197">
        <v>2008</v>
      </c>
      <c r="O157" s="197">
        <v>1448</v>
      </c>
      <c r="P157" s="197">
        <v>2045</v>
      </c>
      <c r="Q157" s="197">
        <v>1921</v>
      </c>
      <c r="R157" s="201" t="s">
        <v>567</v>
      </c>
      <c r="T157" s="199">
        <f t="shared" si="64"/>
        <v>1833</v>
      </c>
      <c r="V157" s="208">
        <f>T157</f>
        <v>1833</v>
      </c>
      <c r="W157" s="209" t="s">
        <v>1317</v>
      </c>
      <c r="Y157" s="146"/>
    </row>
    <row r="158" spans="1:25" x14ac:dyDescent="0.15">
      <c r="A158" s="396" t="s">
        <v>495</v>
      </c>
      <c r="B158" s="315"/>
      <c r="C158" s="315"/>
      <c r="D158" s="315"/>
      <c r="E158" s="315"/>
      <c r="F158" s="764" t="s">
        <v>326</v>
      </c>
      <c r="G158" s="197">
        <v>381</v>
      </c>
      <c r="H158" s="197">
        <v>358</v>
      </c>
      <c r="I158" s="197">
        <v>362</v>
      </c>
      <c r="J158" s="197">
        <v>367</v>
      </c>
      <c r="K158" s="197">
        <v>391</v>
      </c>
      <c r="L158" s="197">
        <v>390</v>
      </c>
      <c r="M158" s="197">
        <v>393</v>
      </c>
      <c r="N158" s="197">
        <v>396</v>
      </c>
      <c r="O158" s="197">
        <v>396</v>
      </c>
      <c r="P158" s="197">
        <v>414</v>
      </c>
      <c r="Q158" s="197">
        <v>396</v>
      </c>
      <c r="R158" s="201" t="s">
        <v>567</v>
      </c>
      <c r="T158" s="199">
        <f t="shared" si="64"/>
        <v>385.81818181818181</v>
      </c>
      <c r="V158" s="211">
        <f>T158*100</f>
        <v>38581.818181818184</v>
      </c>
      <c r="W158" s="212" t="s">
        <v>532</v>
      </c>
      <c r="Y158" s="146"/>
    </row>
    <row r="159" spans="1:25" x14ac:dyDescent="0.15">
      <c r="A159" s="396" t="s">
        <v>496</v>
      </c>
      <c r="B159" s="315"/>
      <c r="C159" s="315"/>
      <c r="D159" s="315"/>
      <c r="E159" s="315"/>
      <c r="F159" s="764" t="s">
        <v>1042</v>
      </c>
      <c r="G159" s="197">
        <v>6281</v>
      </c>
      <c r="H159" s="197">
        <v>6496</v>
      </c>
      <c r="I159" s="197">
        <v>6578</v>
      </c>
      <c r="J159" s="197">
        <v>6670</v>
      </c>
      <c r="K159" s="197">
        <v>6988</v>
      </c>
      <c r="L159" s="197">
        <v>6624</v>
      </c>
      <c r="M159" s="197">
        <v>6898</v>
      </c>
      <c r="N159" s="197">
        <v>7219</v>
      </c>
      <c r="O159" s="197">
        <v>6846</v>
      </c>
      <c r="P159" s="197">
        <v>7085</v>
      </c>
      <c r="Q159" s="197">
        <v>6669</v>
      </c>
      <c r="R159" s="201" t="s">
        <v>567</v>
      </c>
      <c r="T159" s="199">
        <f t="shared" si="64"/>
        <v>6759.454545454545</v>
      </c>
      <c r="V159" s="208">
        <f>T159</f>
        <v>6759.454545454545</v>
      </c>
      <c r="W159" s="209" t="s">
        <v>36</v>
      </c>
      <c r="Y159" s="146"/>
    </row>
    <row r="160" spans="1:25" x14ac:dyDescent="0.15">
      <c r="A160" s="396" t="s">
        <v>497</v>
      </c>
      <c r="B160" s="315"/>
      <c r="C160" s="315"/>
      <c r="D160" s="315"/>
      <c r="E160" s="315"/>
      <c r="F160" s="764" t="s">
        <v>1041</v>
      </c>
      <c r="G160" s="197">
        <v>28.3</v>
      </c>
      <c r="H160" s="197">
        <v>27.6</v>
      </c>
      <c r="I160" s="197">
        <v>24.7</v>
      </c>
      <c r="J160" s="197">
        <v>27.1</v>
      </c>
      <c r="K160" s="197">
        <v>27.5</v>
      </c>
      <c r="L160" s="197">
        <v>27</v>
      </c>
      <c r="M160" s="197">
        <v>26.3</v>
      </c>
      <c r="N160" s="197">
        <v>25</v>
      </c>
      <c r="O160" s="197">
        <v>29.7</v>
      </c>
      <c r="P160" s="197">
        <v>28</v>
      </c>
      <c r="Q160" s="197">
        <v>28</v>
      </c>
      <c r="R160" s="201" t="s">
        <v>567</v>
      </c>
      <c r="T160" s="199">
        <f t="shared" si="64"/>
        <v>27.200000000000003</v>
      </c>
      <c r="V160" s="208">
        <f>T160*X160</f>
        <v>1523.2000000000003</v>
      </c>
      <c r="W160" s="209" t="s">
        <v>253</v>
      </c>
      <c r="X160" s="207">
        <v>56</v>
      </c>
      <c r="Y160" s="43" t="s">
        <v>510</v>
      </c>
    </row>
    <row r="161" spans="1:27" x14ac:dyDescent="0.15">
      <c r="A161" s="396" t="s">
        <v>498</v>
      </c>
      <c r="B161" s="315"/>
      <c r="C161" s="315"/>
      <c r="D161" s="315"/>
      <c r="E161" s="315"/>
      <c r="F161" s="764" t="s">
        <v>1041</v>
      </c>
      <c r="G161" s="197">
        <v>38.1</v>
      </c>
      <c r="H161" s="197">
        <v>39.6</v>
      </c>
      <c r="I161" s="197">
        <v>38</v>
      </c>
      <c r="J161" s="197">
        <v>33.9</v>
      </c>
      <c r="K161" s="197">
        <v>42.2</v>
      </c>
      <c r="L161" s="197">
        <v>43.1</v>
      </c>
      <c r="M161" s="197">
        <v>42.9</v>
      </c>
      <c r="N161" s="197">
        <v>41.7</v>
      </c>
      <c r="O161" s="197">
        <v>39.700000000000003</v>
      </c>
      <c r="P161" s="197">
        <v>44</v>
      </c>
      <c r="Q161" s="197">
        <v>43.9</v>
      </c>
      <c r="R161" s="201" t="s">
        <v>567</v>
      </c>
      <c r="T161" s="199">
        <f t="shared" si="64"/>
        <v>40.645454545454541</v>
      </c>
      <c r="V161" s="211">
        <f>T161*X161</f>
        <v>2438.7272727272725</v>
      </c>
      <c r="W161" s="212" t="s">
        <v>592</v>
      </c>
      <c r="X161" s="207">
        <v>60</v>
      </c>
      <c r="Y161" s="43" t="s">
        <v>510</v>
      </c>
    </row>
    <row r="162" spans="1:27" x14ac:dyDescent="0.15">
      <c r="A162" s="396" t="s">
        <v>499</v>
      </c>
      <c r="B162" s="315"/>
      <c r="C162" s="315"/>
      <c r="D162" s="315"/>
      <c r="E162" s="315"/>
      <c r="F162" s="764" t="s">
        <v>327</v>
      </c>
      <c r="G162" s="197">
        <v>23.7</v>
      </c>
      <c r="H162" s="197">
        <v>20.7</v>
      </c>
      <c r="I162" s="197">
        <v>20.399999999999999</v>
      </c>
      <c r="J162" s="197">
        <v>22.8</v>
      </c>
      <c r="K162" s="197">
        <v>23</v>
      </c>
      <c r="L162" s="197">
        <v>22.1</v>
      </c>
      <c r="M162" s="197">
        <v>26.1</v>
      </c>
      <c r="N162" s="197">
        <v>25.5</v>
      </c>
      <c r="O162" s="197">
        <v>26.8</v>
      </c>
      <c r="P162" s="197">
        <v>25.7</v>
      </c>
      <c r="Q162" s="197">
        <v>27.7</v>
      </c>
      <c r="R162" s="201" t="s">
        <v>567</v>
      </c>
      <c r="T162" s="199">
        <f t="shared" si="64"/>
        <v>24.045454545454547</v>
      </c>
      <c r="V162" s="208">
        <f>T162*2000</f>
        <v>48090.909090909096</v>
      </c>
      <c r="W162" s="209" t="s">
        <v>1318</v>
      </c>
      <c r="X162" s="793"/>
      <c r="Y162" s="800"/>
    </row>
    <row r="163" spans="1:27" x14ac:dyDescent="0.15">
      <c r="A163" s="396" t="s">
        <v>500</v>
      </c>
      <c r="B163" s="315"/>
      <c r="C163" s="315"/>
      <c r="D163" s="315"/>
      <c r="E163" s="315"/>
      <c r="F163" s="764" t="s">
        <v>327</v>
      </c>
      <c r="G163" s="197">
        <v>35.1</v>
      </c>
      <c r="H163" s="197">
        <v>33.799999999999997</v>
      </c>
      <c r="I163" s="197">
        <v>34.9</v>
      </c>
      <c r="J163" s="197">
        <v>34.299999999999997</v>
      </c>
      <c r="K163" s="197">
        <v>31</v>
      </c>
      <c r="L163" s="197">
        <v>28.8</v>
      </c>
      <c r="M163" s="197">
        <v>33</v>
      </c>
      <c r="N163" s="197">
        <v>34.200000000000003</v>
      </c>
      <c r="O163" s="197">
        <v>31.8</v>
      </c>
      <c r="P163" s="197">
        <v>34.9</v>
      </c>
      <c r="Q163" s="201" t="s">
        <v>567</v>
      </c>
      <c r="R163" s="201" t="s">
        <v>567</v>
      </c>
      <c r="T163" s="199">
        <f t="shared" si="64"/>
        <v>33.18</v>
      </c>
      <c r="V163" s="208">
        <f>T163*2000</f>
        <v>66360</v>
      </c>
      <c r="W163" s="209" t="s">
        <v>1319</v>
      </c>
      <c r="Y163" s="146"/>
    </row>
    <row r="164" spans="1:27" x14ac:dyDescent="0.15">
      <c r="A164" s="396" t="s">
        <v>501</v>
      </c>
      <c r="B164" s="315"/>
      <c r="C164" s="315"/>
      <c r="D164" s="315"/>
      <c r="E164" s="315"/>
      <c r="F164" s="764" t="s">
        <v>1041</v>
      </c>
      <c r="G164" s="197">
        <v>42</v>
      </c>
      <c r="H164" s="197">
        <v>40.200000000000003</v>
      </c>
      <c r="I164" s="197">
        <v>35</v>
      </c>
      <c r="J164" s="197">
        <v>44.2</v>
      </c>
      <c r="K164" s="197">
        <v>43.2</v>
      </c>
      <c r="L164" s="197">
        <v>42</v>
      </c>
      <c r="M164" s="197">
        <v>38.6</v>
      </c>
      <c r="N164" s="197">
        <v>40.200000000000003</v>
      </c>
      <c r="O164" s="197">
        <v>44.9</v>
      </c>
      <c r="P164" s="197">
        <v>44.5</v>
      </c>
      <c r="Q164" s="197">
        <v>46.4</v>
      </c>
      <c r="R164" s="201" t="s">
        <v>567</v>
      </c>
      <c r="T164" s="199">
        <f t="shared" ref="T164:T167" si="66">AVERAGE(G164:R164)</f>
        <v>41.927272727272729</v>
      </c>
      <c r="V164" s="208">
        <f>T164*X164</f>
        <v>2515.636363636364</v>
      </c>
      <c r="W164" s="209" t="s">
        <v>1320</v>
      </c>
      <c r="X164" s="216">
        <v>60</v>
      </c>
      <c r="Y164" s="43" t="s">
        <v>510</v>
      </c>
    </row>
    <row r="165" spans="1:27" x14ac:dyDescent="0.15">
      <c r="A165" s="396" t="s">
        <v>502</v>
      </c>
      <c r="B165" s="315"/>
      <c r="C165" s="315"/>
      <c r="D165" s="315"/>
      <c r="E165" s="315"/>
      <c r="F165" s="764" t="s">
        <v>1041</v>
      </c>
      <c r="G165" s="197">
        <v>38.4</v>
      </c>
      <c r="H165" s="197">
        <v>35.200000000000003</v>
      </c>
      <c r="I165" s="197">
        <v>29.1</v>
      </c>
      <c r="J165" s="197">
        <v>39.5</v>
      </c>
      <c r="K165" s="197">
        <v>43.2</v>
      </c>
      <c r="L165" s="197">
        <v>37.1</v>
      </c>
      <c r="M165" s="197">
        <v>33.200000000000003</v>
      </c>
      <c r="N165" s="197">
        <v>37.1</v>
      </c>
      <c r="O165" s="197">
        <v>40.5</v>
      </c>
      <c r="P165" s="197">
        <v>45.1</v>
      </c>
      <c r="Q165" s="197">
        <v>46.1</v>
      </c>
      <c r="R165" s="201" t="s">
        <v>567</v>
      </c>
      <c r="T165" s="199">
        <f t="shared" si="66"/>
        <v>38.590909090909093</v>
      </c>
      <c r="V165" s="214">
        <f>T165*X165</f>
        <v>2315.4545454545455</v>
      </c>
      <c r="W165" s="309"/>
      <c r="X165" s="207">
        <v>60</v>
      </c>
      <c r="Y165" s="43" t="s">
        <v>510</v>
      </c>
    </row>
    <row r="166" spans="1:27" x14ac:dyDescent="0.15">
      <c r="A166" s="396" t="s">
        <v>503</v>
      </c>
      <c r="B166" s="315"/>
      <c r="C166" s="315"/>
      <c r="D166" s="315"/>
      <c r="E166" s="315"/>
      <c r="F166" s="764" t="s">
        <v>1041</v>
      </c>
      <c r="G166" s="197">
        <v>30.7</v>
      </c>
      <c r="H166" s="197">
        <v>30</v>
      </c>
      <c r="I166" s="197">
        <v>29.5</v>
      </c>
      <c r="J166" s="197">
        <v>33.700000000000003</v>
      </c>
      <c r="K166" s="197">
        <v>38</v>
      </c>
      <c r="L166" s="197">
        <v>37.200000000000003</v>
      </c>
      <c r="M166" s="197">
        <v>29.5</v>
      </c>
      <c r="N166" s="197">
        <v>34.1</v>
      </c>
      <c r="O166" s="197">
        <v>32.6</v>
      </c>
      <c r="P166" s="197">
        <v>44.9</v>
      </c>
      <c r="Q166" s="197">
        <v>42.4</v>
      </c>
      <c r="R166" s="201" t="s">
        <v>567</v>
      </c>
      <c r="T166" s="199">
        <f t="shared" si="66"/>
        <v>34.781818181818181</v>
      </c>
      <c r="V166" s="208">
        <f>T166*X166</f>
        <v>2086.909090909091</v>
      </c>
      <c r="W166" s="209" t="s">
        <v>516</v>
      </c>
      <c r="X166" s="207">
        <v>60</v>
      </c>
      <c r="Y166" s="43" t="s">
        <v>510</v>
      </c>
    </row>
    <row r="167" spans="1:27" x14ac:dyDescent="0.15">
      <c r="A167" s="396" t="s">
        <v>504</v>
      </c>
      <c r="B167" s="315"/>
      <c r="C167" s="315"/>
      <c r="D167" s="315"/>
      <c r="E167" s="315"/>
      <c r="F167" s="764" t="s">
        <v>1041</v>
      </c>
      <c r="G167" s="197">
        <v>44.6</v>
      </c>
      <c r="H167" s="197">
        <v>43.4</v>
      </c>
      <c r="I167" s="197">
        <v>38.200000000000003</v>
      </c>
      <c r="J167" s="197">
        <v>46.7</v>
      </c>
      <c r="K167" s="197">
        <v>43.5</v>
      </c>
      <c r="L167" s="197">
        <v>44.3</v>
      </c>
      <c r="M167" s="197">
        <v>41.6</v>
      </c>
      <c r="N167" s="197">
        <v>41.7</v>
      </c>
      <c r="O167" s="197">
        <v>47.1</v>
      </c>
      <c r="P167" s="197">
        <v>44.2</v>
      </c>
      <c r="Q167" s="197">
        <v>46.8</v>
      </c>
      <c r="R167" s="201" t="s">
        <v>567</v>
      </c>
      <c r="T167" s="199">
        <f t="shared" si="66"/>
        <v>43.827272727272728</v>
      </c>
      <c r="V167" s="206">
        <f>T167*X167</f>
        <v>2629.6363636363635</v>
      </c>
      <c r="X167" s="207">
        <v>60</v>
      </c>
      <c r="Y167" s="43" t="s">
        <v>510</v>
      </c>
      <c r="Z167" s="98"/>
      <c r="AA167" s="98"/>
    </row>
    <row r="168" spans="1:27" x14ac:dyDescent="0.15">
      <c r="A168" s="315"/>
      <c r="B168" s="315"/>
      <c r="C168" s="315"/>
      <c r="D168" s="315"/>
      <c r="E168" s="315"/>
      <c r="F168" s="764"/>
      <c r="Y168" s="146"/>
    </row>
    <row r="169" spans="1:27" s="195" customFormat="1" x14ac:dyDescent="0.15">
      <c r="A169" s="117" t="s">
        <v>1322</v>
      </c>
      <c r="B169" s="309"/>
      <c r="C169" s="309"/>
      <c r="D169" s="309"/>
      <c r="E169" s="309"/>
      <c r="F169" s="787"/>
      <c r="G169" s="202"/>
      <c r="H169" s="202"/>
      <c r="I169" s="202"/>
      <c r="J169" s="202"/>
      <c r="K169" s="202"/>
      <c r="L169" s="202"/>
      <c r="M169" s="202"/>
      <c r="N169" s="202"/>
      <c r="O169" s="202"/>
      <c r="P169" s="202"/>
      <c r="Q169" s="202"/>
      <c r="R169" s="202"/>
      <c r="T169" s="317"/>
      <c r="V169" s="214"/>
      <c r="X169" s="216"/>
      <c r="Y169" s="729"/>
    </row>
    <row r="170" spans="1:27" x14ac:dyDescent="0.15">
      <c r="A170" s="315" t="s">
        <v>622</v>
      </c>
      <c r="B170" s="280"/>
      <c r="C170" s="315"/>
      <c r="D170" s="315"/>
      <c r="E170" s="315"/>
      <c r="F170" s="764" t="s">
        <v>327</v>
      </c>
      <c r="H170" s="199">
        <f>7452.2/13827.7</f>
        <v>0.53893272200004338</v>
      </c>
      <c r="I170" s="199">
        <f>6183.9/12416.6</f>
        <v>0.49803488877792629</v>
      </c>
      <c r="J170" s="237">
        <f>6664.6/12003.4</f>
        <v>0.5552260192945333</v>
      </c>
      <c r="K170" s="199">
        <f>8198.1/13057</f>
        <v>0.62787010798805243</v>
      </c>
      <c r="L170" s="199">
        <f>8172.1/13802.6</f>
        <v>0.59206961007346448</v>
      </c>
      <c r="M170" s="199">
        <f>7347.9/12731.5</f>
        <v>0.57714330597337316</v>
      </c>
      <c r="N170" s="199">
        <f>6588.7/10489.1</f>
        <v>0.62814731483158703</v>
      </c>
      <c r="O170" s="199">
        <f>4300.3/7568.7</f>
        <v>0.56816890615297211</v>
      </c>
      <c r="P170" s="199">
        <f>4148/7528.7</f>
        <v>0.55095833277989559</v>
      </c>
      <c r="Q170" s="199">
        <f>6098.1/10698.7</f>
        <v>0.56998513838129861</v>
      </c>
      <c r="T170" s="199">
        <f>AVERAGE(H170:Q170)</f>
        <v>0.57065363462531471</v>
      </c>
      <c r="V170" s="281">
        <f>T170*2000</f>
        <v>1141.3072692506294</v>
      </c>
      <c r="W170" s="276" t="s">
        <v>622</v>
      </c>
      <c r="Y170" s="146"/>
    </row>
    <row r="171" spans="1:27" s="313" customFormat="1" x14ac:dyDescent="0.15">
      <c r="A171" s="315"/>
      <c r="B171" s="280"/>
      <c r="C171" s="315"/>
      <c r="D171" s="315"/>
      <c r="E171" s="315"/>
      <c r="F171" s="764"/>
      <c r="G171" s="197"/>
      <c r="H171" s="197"/>
      <c r="I171" s="197"/>
      <c r="J171" s="207"/>
      <c r="K171" s="197"/>
      <c r="L171" s="197"/>
      <c r="M171" s="197"/>
      <c r="N171" s="197"/>
      <c r="O171" s="197"/>
      <c r="P171" s="197"/>
      <c r="Q171" s="197"/>
      <c r="R171" s="197"/>
      <c r="T171" s="199"/>
      <c r="V171" s="214"/>
      <c r="W171" s="309"/>
      <c r="X171" s="207"/>
      <c r="Y171" s="146"/>
    </row>
    <row r="172" spans="1:27" s="195" customFormat="1" ht="15" x14ac:dyDescent="0.15">
      <c r="A172" s="117" t="s">
        <v>1324</v>
      </c>
      <c r="B172" s="309"/>
      <c r="C172" s="309"/>
      <c r="D172" s="309"/>
      <c r="E172" s="309"/>
      <c r="F172" s="787"/>
      <c r="G172" s="202"/>
      <c r="H172" s="202"/>
      <c r="I172" s="202"/>
      <c r="J172" s="202"/>
      <c r="K172" s="202"/>
      <c r="L172" s="202"/>
      <c r="M172" s="202"/>
      <c r="N172" s="202"/>
      <c r="O172" s="202"/>
      <c r="P172" s="202"/>
      <c r="Q172" s="202"/>
      <c r="R172" s="202"/>
      <c r="T172" s="317"/>
      <c r="V172" s="214"/>
      <c r="X172" s="216"/>
      <c r="Y172" s="729"/>
    </row>
    <row r="173" spans="1:27" s="414" customFormat="1" x14ac:dyDescent="0.15">
      <c r="A173" s="769" t="s">
        <v>1325</v>
      </c>
      <c r="B173" s="753"/>
      <c r="C173" s="753"/>
      <c r="D173" s="753"/>
      <c r="E173" s="753"/>
      <c r="F173" s="544" t="s">
        <v>1186</v>
      </c>
      <c r="G173" s="412"/>
      <c r="H173" s="412"/>
      <c r="I173" s="412"/>
      <c r="J173" s="412"/>
      <c r="K173" s="412"/>
      <c r="L173" s="412"/>
      <c r="M173" s="412"/>
      <c r="N173" s="412"/>
      <c r="O173" s="412"/>
      <c r="P173" s="412"/>
      <c r="Q173" s="412"/>
      <c r="R173" s="412"/>
      <c r="T173" s="415"/>
      <c r="U173" s="416"/>
      <c r="V173" s="772">
        <v>1994.9999999999998</v>
      </c>
      <c r="W173" s="773" t="s">
        <v>679</v>
      </c>
      <c r="X173" s="794"/>
      <c r="Y173" s="795"/>
    </row>
    <row r="174" spans="1:27" s="414" customFormat="1" x14ac:dyDescent="0.15">
      <c r="A174" s="770" t="s">
        <v>1326</v>
      </c>
      <c r="B174" s="768"/>
      <c r="C174" s="768"/>
      <c r="D174" s="768"/>
      <c r="E174" s="768"/>
      <c r="F174" s="771" t="s">
        <v>1186</v>
      </c>
      <c r="G174" s="766"/>
      <c r="H174" s="766"/>
      <c r="I174" s="766"/>
      <c r="J174" s="766"/>
      <c r="K174" s="766"/>
      <c r="L174" s="766"/>
      <c r="M174" s="766"/>
      <c r="N174" s="766"/>
      <c r="O174" s="766"/>
      <c r="P174" s="766"/>
      <c r="Q174" s="766"/>
      <c r="R174" s="766"/>
      <c r="S174" s="754"/>
      <c r="T174" s="767"/>
      <c r="U174" s="768"/>
      <c r="V174" s="774">
        <v>458.36369572998194</v>
      </c>
      <c r="W174" s="775" t="s">
        <v>680</v>
      </c>
      <c r="X174" s="796"/>
      <c r="Y174" s="797"/>
    </row>
    <row r="176" spans="1:27" x14ac:dyDescent="0.15">
      <c r="A176" s="198" t="s">
        <v>1295</v>
      </c>
    </row>
    <row r="177" spans="1:24" x14ac:dyDescent="0.15">
      <c r="A177" s="315" t="s">
        <v>1298</v>
      </c>
    </row>
    <row r="178" spans="1:24" x14ac:dyDescent="0.15">
      <c r="A178" s="86" t="s">
        <v>1297</v>
      </c>
    </row>
    <row r="179" spans="1:24" x14ac:dyDescent="0.15">
      <c r="A179" s="86" t="s">
        <v>1299</v>
      </c>
    </row>
    <row r="180" spans="1:24" x14ac:dyDescent="0.15">
      <c r="A180" s="86" t="s">
        <v>1310</v>
      </c>
    </row>
    <row r="181" spans="1:24" x14ac:dyDescent="0.15">
      <c r="A181" s="86" t="s">
        <v>1313</v>
      </c>
      <c r="B181" s="197"/>
    </row>
    <row r="182" spans="1:24" x14ac:dyDescent="0.15">
      <c r="A182" s="86" t="s">
        <v>1321</v>
      </c>
      <c r="B182" s="197"/>
    </row>
    <row r="183" spans="1:24" s="313" customFormat="1" x14ac:dyDescent="0.15">
      <c r="A183" s="86" t="s">
        <v>1323</v>
      </c>
      <c r="B183" s="197"/>
      <c r="F183" s="197"/>
      <c r="G183" s="197"/>
      <c r="H183" s="197"/>
      <c r="I183" s="197"/>
      <c r="J183" s="197"/>
      <c r="K183" s="197"/>
      <c r="L183" s="197"/>
      <c r="M183" s="197"/>
      <c r="N183" s="197"/>
      <c r="O183" s="197"/>
      <c r="P183" s="197"/>
      <c r="Q183" s="197"/>
      <c r="R183" s="197"/>
      <c r="T183" s="199"/>
      <c r="V183" s="206"/>
      <c r="X183" s="207"/>
    </row>
    <row r="184" spans="1:24" s="313" customFormat="1" x14ac:dyDescent="0.15">
      <c r="A184" s="315"/>
      <c r="B184" s="197"/>
      <c r="F184" s="197"/>
      <c r="G184" s="197"/>
      <c r="H184" s="197"/>
      <c r="I184" s="197"/>
      <c r="J184" s="197"/>
      <c r="K184" s="197"/>
      <c r="L184" s="197"/>
      <c r="M184" s="197"/>
      <c r="N184" s="197"/>
      <c r="O184" s="197"/>
      <c r="P184" s="197"/>
      <c r="Q184" s="197"/>
      <c r="R184" s="197"/>
      <c r="T184" s="199"/>
      <c r="V184" s="206"/>
      <c r="X184" s="207"/>
    </row>
    <row r="185" spans="1:24" s="313" customFormat="1" x14ac:dyDescent="0.15">
      <c r="A185" s="315"/>
      <c r="B185" s="197"/>
      <c r="F185" s="197"/>
      <c r="G185" s="197"/>
      <c r="H185" s="197"/>
      <c r="I185" s="197"/>
      <c r="J185" s="197"/>
      <c r="K185" s="197"/>
      <c r="L185" s="197"/>
      <c r="M185" s="197"/>
      <c r="N185" s="197"/>
      <c r="O185" s="197"/>
      <c r="P185" s="197"/>
      <c r="Q185" s="197"/>
      <c r="R185" s="197"/>
      <c r="T185" s="199"/>
      <c r="V185" s="206"/>
      <c r="X185" s="207"/>
    </row>
    <row r="186" spans="1:24" x14ac:dyDescent="0.15">
      <c r="A186" s="315"/>
      <c r="B186" s="313"/>
    </row>
    <row r="187" spans="1:24" x14ac:dyDescent="0.15">
      <c r="A187" s="313"/>
    </row>
    <row r="188" spans="1:24" x14ac:dyDescent="0.15">
      <c r="A188" s="313"/>
    </row>
    <row r="189" spans="1:24" x14ac:dyDescent="0.15">
      <c r="A189" s="313"/>
    </row>
    <row r="190" spans="1:24" x14ac:dyDescent="0.15">
      <c r="A190" s="313"/>
    </row>
    <row r="191" spans="1:24" x14ac:dyDescent="0.15">
      <c r="A191" s="313"/>
    </row>
    <row r="192" spans="1:24" x14ac:dyDescent="0.15">
      <c r="A192" s="315"/>
    </row>
    <row r="193" spans="1:1" x14ac:dyDescent="0.15">
      <c r="A193" s="313"/>
    </row>
    <row r="194" spans="1:1" x14ac:dyDescent="0.15">
      <c r="A194" s="315"/>
    </row>
  </sheetData>
  <mergeCells count="1">
    <mergeCell ref="A2:N3"/>
  </mergeCells>
  <pageMargins left="0.7" right="0.7" top="0.75" bottom="0.75" header="0.3" footer="0.3"/>
  <pageSetup scale="10" orientation="landscape" r:id="rId1"/>
  <ignoredErrors>
    <ignoredError sqref="V151" formula="1"/>
  </ignoredError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P267"/>
  <sheetViews>
    <sheetView topLeftCell="A230" workbookViewId="0">
      <selection activeCell="G179" sqref="G179"/>
    </sheetView>
  </sheetViews>
  <sheetFormatPr baseColWidth="10" defaultColWidth="13.5" defaultRowHeight="13" x14ac:dyDescent="0.15"/>
  <cols>
    <col min="3" max="3" width="25.6640625" bestFit="1" customWidth="1"/>
    <col min="5" max="5" width="15.6640625" style="189" customWidth="1"/>
    <col min="6" max="6" width="15.6640625" style="316" customWidth="1"/>
    <col min="7" max="7" width="15.6640625" style="221" customWidth="1"/>
    <col min="8" max="9" width="15.6640625" style="319" customWidth="1"/>
    <col min="10" max="10" width="119" style="310" bestFit="1" customWidth="1"/>
  </cols>
  <sheetData>
    <row r="1" spans="1:10" ht="14" thickBot="1" x14ac:dyDescent="0.2">
      <c r="A1" s="1" t="s">
        <v>39</v>
      </c>
    </row>
    <row r="2" spans="1:10" x14ac:dyDescent="0.15">
      <c r="A2" s="859" t="s">
        <v>371</v>
      </c>
      <c r="B2" s="860"/>
      <c r="C2" s="860"/>
      <c r="D2" s="860"/>
      <c r="E2" s="860"/>
      <c r="F2" s="860"/>
      <c r="G2" s="860"/>
      <c r="H2" s="860"/>
      <c r="I2" s="860"/>
      <c r="J2" s="860"/>
    </row>
    <row r="3" spans="1:10" x14ac:dyDescent="0.15">
      <c r="A3" s="862"/>
      <c r="B3" s="863"/>
      <c r="C3" s="863"/>
      <c r="D3" s="863"/>
      <c r="E3" s="863"/>
      <c r="F3" s="863"/>
      <c r="G3" s="863"/>
      <c r="H3" s="863"/>
      <c r="I3" s="863"/>
      <c r="J3" s="863"/>
    </row>
    <row r="4" spans="1:10" ht="14" thickBot="1" x14ac:dyDescent="0.2">
      <c r="A4" s="865"/>
      <c r="B4" s="866"/>
      <c r="C4" s="866"/>
      <c r="D4" s="866"/>
      <c r="E4" s="866"/>
      <c r="F4" s="866"/>
      <c r="G4" s="866"/>
      <c r="H4" s="866"/>
      <c r="I4" s="866"/>
      <c r="J4" s="866"/>
    </row>
    <row r="5" spans="1:10" x14ac:dyDescent="0.15">
      <c r="A5" s="2"/>
    </row>
    <row r="6" spans="1:10" ht="65" x14ac:dyDescent="0.15">
      <c r="A6" s="70" t="s">
        <v>3</v>
      </c>
      <c r="B6" s="71" t="s">
        <v>27</v>
      </c>
      <c r="C6" s="71" t="s">
        <v>59</v>
      </c>
      <c r="D6" s="71" t="s">
        <v>596</v>
      </c>
      <c r="E6" s="30" t="s">
        <v>340</v>
      </c>
      <c r="F6" s="30" t="s">
        <v>1151</v>
      </c>
      <c r="G6" s="220" t="s">
        <v>1202</v>
      </c>
      <c r="H6" s="318" t="s">
        <v>1203</v>
      </c>
      <c r="I6" s="318" t="s">
        <v>715</v>
      </c>
      <c r="J6" s="670" t="s">
        <v>2</v>
      </c>
    </row>
    <row r="7" spans="1:10" x14ac:dyDescent="0.15">
      <c r="A7" s="15" t="s">
        <v>4</v>
      </c>
      <c r="B7" s="12" t="s">
        <v>60</v>
      </c>
      <c r="C7" s="12" t="s">
        <v>63</v>
      </c>
      <c r="D7" s="12" t="s">
        <v>597</v>
      </c>
      <c r="E7" s="223">
        <f>'Food requirements'!I7</f>
        <v>167.61428520936323</v>
      </c>
      <c r="F7" s="631" t="s">
        <v>68</v>
      </c>
      <c r="G7" s="221">
        <f>E7/Wheat</f>
        <v>6.6628980099125296E-2</v>
      </c>
      <c r="H7" s="631" t="s">
        <v>68</v>
      </c>
      <c r="I7" s="631" t="s">
        <v>68</v>
      </c>
      <c r="J7" s="671"/>
    </row>
    <row r="8" spans="1:10" x14ac:dyDescent="0.15">
      <c r="A8" s="15" t="s">
        <v>4</v>
      </c>
      <c r="B8" s="12" t="s">
        <v>61</v>
      </c>
      <c r="C8" s="12" t="s">
        <v>63</v>
      </c>
      <c r="D8" s="12" t="s">
        <v>598</v>
      </c>
      <c r="E8" s="223">
        <f>'Food requirements'!I8</f>
        <v>15.014405731200206</v>
      </c>
      <c r="F8" s="631" t="s">
        <v>68</v>
      </c>
      <c r="G8" s="221">
        <f>E8/Durum_Wheat</f>
        <v>7.1945662590696229E-3</v>
      </c>
      <c r="H8" s="631" t="s">
        <v>68</v>
      </c>
      <c r="I8" s="631" t="s">
        <v>68</v>
      </c>
      <c r="J8" s="672"/>
    </row>
    <row r="9" spans="1:10" x14ac:dyDescent="0.15">
      <c r="A9" s="15" t="s">
        <v>4</v>
      </c>
      <c r="B9" s="13" t="s">
        <v>62</v>
      </c>
      <c r="C9" s="12" t="s">
        <v>63</v>
      </c>
      <c r="D9" s="12" t="s">
        <v>38</v>
      </c>
      <c r="E9" s="223">
        <f>'Food requirements'!I9</f>
        <v>38.2023305999097</v>
      </c>
      <c r="F9" s="631" t="s">
        <v>68</v>
      </c>
      <c r="G9" s="221">
        <f>E9/Corn</f>
        <v>4.6107706451503916E-3</v>
      </c>
      <c r="H9" s="631" t="s">
        <v>68</v>
      </c>
      <c r="I9" s="631" t="s">
        <v>68</v>
      </c>
      <c r="J9" s="671"/>
    </row>
    <row r="10" spans="1:10" x14ac:dyDescent="0.15">
      <c r="A10" s="15" t="s">
        <v>4</v>
      </c>
      <c r="B10" s="13" t="s">
        <v>54</v>
      </c>
      <c r="C10" s="12" t="s">
        <v>63</v>
      </c>
      <c r="D10" s="12" t="s">
        <v>38</v>
      </c>
      <c r="E10" s="223">
        <f>'Food requirements'!I10</f>
        <v>22.306159379685994</v>
      </c>
      <c r="F10" s="631" t="s">
        <v>68</v>
      </c>
      <c r="G10" s="221">
        <f>E10/Corn</f>
        <v>2.6922070789614431E-3</v>
      </c>
      <c r="H10" s="631" t="s">
        <v>68</v>
      </c>
      <c r="I10" s="631" t="s">
        <v>68</v>
      </c>
      <c r="J10" s="671"/>
    </row>
    <row r="11" spans="1:10" x14ac:dyDescent="0.15">
      <c r="A11" s="15" t="s">
        <v>4</v>
      </c>
      <c r="B11" s="13" t="s">
        <v>55</v>
      </c>
      <c r="C11" s="12" t="s">
        <v>63</v>
      </c>
      <c r="D11" s="12" t="s">
        <v>38</v>
      </c>
      <c r="E11" s="223">
        <f>'Food requirements'!I11</f>
        <v>14.885685600609106</v>
      </c>
      <c r="F11" s="631" t="s">
        <v>68</v>
      </c>
      <c r="G11" s="221">
        <f>E11/Corn</f>
        <v>1.7966045820353321E-3</v>
      </c>
      <c r="H11" s="631" t="s">
        <v>68</v>
      </c>
      <c r="I11" s="631" t="s">
        <v>68</v>
      </c>
      <c r="J11" s="671"/>
    </row>
    <row r="12" spans="1:10" x14ac:dyDescent="0.15">
      <c r="A12" s="15" t="s">
        <v>4</v>
      </c>
      <c r="B12" s="12" t="s">
        <v>56</v>
      </c>
      <c r="C12" s="12" t="s">
        <v>63</v>
      </c>
      <c r="D12" s="12" t="s">
        <v>253</v>
      </c>
      <c r="E12" s="223">
        <f>'Food requirements'!I12</f>
        <v>0.6474033928163353</v>
      </c>
      <c r="F12" s="631" t="s">
        <v>68</v>
      </c>
      <c r="G12" s="221">
        <f>E12/Rye</f>
        <v>4.2502848793089234E-4</v>
      </c>
      <c r="H12" s="631" t="s">
        <v>68</v>
      </c>
      <c r="I12" s="631" t="s">
        <v>68</v>
      </c>
      <c r="J12" s="671"/>
    </row>
    <row r="13" spans="1:10" x14ac:dyDescent="0.15">
      <c r="A13" s="15" t="s">
        <v>4</v>
      </c>
      <c r="B13" s="12" t="s">
        <v>36</v>
      </c>
      <c r="C13" s="12" t="s">
        <v>63</v>
      </c>
      <c r="D13" s="12" t="s">
        <v>36</v>
      </c>
      <c r="E13" s="223">
        <f>'Food requirements'!I13</f>
        <v>25.145183952818449</v>
      </c>
      <c r="F13" s="631" t="s">
        <v>68</v>
      </c>
      <c r="G13" s="221">
        <f>E13/Rice</f>
        <v>3.720001929701199E-3</v>
      </c>
      <c r="H13" s="631" t="s">
        <v>68</v>
      </c>
      <c r="I13" s="631" t="s">
        <v>68</v>
      </c>
      <c r="J13" s="671"/>
    </row>
    <row r="14" spans="1:10" x14ac:dyDescent="0.15">
      <c r="A14" s="15" t="s">
        <v>4</v>
      </c>
      <c r="B14" s="13" t="s">
        <v>57</v>
      </c>
      <c r="C14" s="12" t="s">
        <v>63</v>
      </c>
      <c r="D14" s="12" t="s">
        <v>254</v>
      </c>
      <c r="E14" s="223">
        <f>'Food requirements'!I14</f>
        <v>6.5367659394635682</v>
      </c>
      <c r="F14" s="631" t="s">
        <v>68</v>
      </c>
      <c r="G14" s="221">
        <f>E14/Oats</f>
        <v>3.2555973510440474E-3</v>
      </c>
      <c r="H14" s="631" t="s">
        <v>68</v>
      </c>
      <c r="I14" s="631" t="s">
        <v>68</v>
      </c>
      <c r="J14" s="671"/>
    </row>
    <row r="15" spans="1:10" x14ac:dyDescent="0.15">
      <c r="A15" s="25" t="s">
        <v>4</v>
      </c>
      <c r="B15" s="31" t="s">
        <v>58</v>
      </c>
      <c r="C15" s="32" t="s">
        <v>63</v>
      </c>
      <c r="D15" s="32" t="s">
        <v>255</v>
      </c>
      <c r="E15" s="224">
        <f>'Food requirements'!I15</f>
        <v>0.92449848184830452</v>
      </c>
      <c r="F15" s="654" t="s">
        <v>68</v>
      </c>
      <c r="G15" s="320">
        <f>E15/Barley</f>
        <v>3.0340002208731169E-4</v>
      </c>
      <c r="H15" s="654" t="s">
        <v>68</v>
      </c>
      <c r="I15" s="654" t="s">
        <v>68</v>
      </c>
      <c r="J15" s="673"/>
    </row>
    <row r="16" spans="1:10" x14ac:dyDescent="0.15">
      <c r="A16" s="15" t="s">
        <v>79</v>
      </c>
      <c r="B16" s="15" t="s">
        <v>80</v>
      </c>
      <c r="C16" s="33" t="s">
        <v>429</v>
      </c>
      <c r="D16" s="51" t="s">
        <v>80</v>
      </c>
      <c r="E16" s="223">
        <f>'Food requirements'!I17</f>
        <v>8.0479523532403334</v>
      </c>
      <c r="F16" s="631" t="s">
        <v>68</v>
      </c>
      <c r="G16" s="221">
        <f>E16/Broccoli_All</f>
        <v>5.4478446698857648E-4</v>
      </c>
      <c r="H16" s="631" t="s">
        <v>68</v>
      </c>
      <c r="I16" s="631" t="s">
        <v>68</v>
      </c>
      <c r="J16" s="671"/>
    </row>
    <row r="17" spans="1:10" x14ac:dyDescent="0.15">
      <c r="A17" s="15" t="s">
        <v>79</v>
      </c>
      <c r="B17" s="15" t="s">
        <v>80</v>
      </c>
      <c r="C17" s="33" t="s">
        <v>432</v>
      </c>
      <c r="D17" s="51" t="s">
        <v>80</v>
      </c>
      <c r="E17" s="223">
        <f>'Food requirements'!I18</f>
        <v>3.4115435951672466</v>
      </c>
      <c r="F17" s="631" t="s">
        <v>68</v>
      </c>
      <c r="G17" s="221">
        <f>E17/Broccoli_All</f>
        <v>2.3093525874978287E-4</v>
      </c>
      <c r="H17" s="631" t="s">
        <v>68</v>
      </c>
      <c r="I17" s="631" t="s">
        <v>68</v>
      </c>
      <c r="J17" s="671"/>
    </row>
    <row r="18" spans="1:10" x14ac:dyDescent="0.15">
      <c r="A18" s="14" t="s">
        <v>79</v>
      </c>
      <c r="B18" s="14" t="s">
        <v>81</v>
      </c>
      <c r="C18" s="33" t="s">
        <v>429</v>
      </c>
      <c r="D18" s="51" t="s">
        <v>81</v>
      </c>
      <c r="E18" s="223">
        <f>'Food requirements'!I19</f>
        <v>0.64743510817987915</v>
      </c>
      <c r="F18" s="631" t="s">
        <v>68</v>
      </c>
      <c r="G18" s="221">
        <f>E18/Collard_Greens</f>
        <v>4.9994989048639317E-5</v>
      </c>
      <c r="H18" s="631" t="s">
        <v>68</v>
      </c>
      <c r="I18" s="631" t="s">
        <v>68</v>
      </c>
      <c r="J18" s="671"/>
    </row>
    <row r="19" spans="1:10" x14ac:dyDescent="0.15">
      <c r="A19" s="14" t="s">
        <v>79</v>
      </c>
      <c r="B19" s="14" t="s">
        <v>82</v>
      </c>
      <c r="C19" s="33" t="s">
        <v>429</v>
      </c>
      <c r="D19" s="51" t="s">
        <v>599</v>
      </c>
      <c r="E19" s="223">
        <f>'Food requirements'!I20</f>
        <v>0.4630059910781737</v>
      </c>
      <c r="F19" s="631" t="s">
        <v>68</v>
      </c>
      <c r="G19" s="221">
        <f>E19/Escrole</f>
        <v>2.5651301444774167E-5</v>
      </c>
      <c r="H19" s="631" t="s">
        <v>68</v>
      </c>
      <c r="I19" s="631" t="s">
        <v>68</v>
      </c>
      <c r="J19" s="671"/>
    </row>
    <row r="20" spans="1:10" x14ac:dyDescent="0.15">
      <c r="A20" s="15" t="s">
        <v>79</v>
      </c>
      <c r="B20" s="15" t="s">
        <v>83</v>
      </c>
      <c r="C20" s="33" t="s">
        <v>429</v>
      </c>
      <c r="D20" s="51" t="s">
        <v>83</v>
      </c>
      <c r="E20" s="223">
        <f>'Food requirements'!I21</f>
        <v>0.45078191772593396</v>
      </c>
      <c r="F20" s="631" t="s">
        <v>68</v>
      </c>
      <c r="G20" s="221">
        <f>E20/Kale</f>
        <v>2.4432624266988291E-5</v>
      </c>
      <c r="H20" s="631" t="s">
        <v>68</v>
      </c>
      <c r="I20" s="631" t="s">
        <v>68</v>
      </c>
      <c r="J20" s="671"/>
    </row>
    <row r="21" spans="1:10" x14ac:dyDescent="0.15">
      <c r="A21" s="15" t="s">
        <v>79</v>
      </c>
      <c r="B21" s="15" t="s">
        <v>84</v>
      </c>
      <c r="C21" s="33" t="s">
        <v>429</v>
      </c>
      <c r="D21" s="51" t="s">
        <v>600</v>
      </c>
      <c r="E21" s="223">
        <f>'Food requirements'!I22</f>
        <v>10.200044015771759</v>
      </c>
      <c r="F21" s="631" t="s">
        <v>68</v>
      </c>
      <c r="G21" s="221">
        <f>E21/AVERAGE(Lettuce_Romaine, Lettuce_Leaf)</f>
        <v>3.7207920468741284E-4</v>
      </c>
      <c r="H21" s="631" t="s">
        <v>68</v>
      </c>
      <c r="I21" s="631" t="s">
        <v>68</v>
      </c>
      <c r="J21" s="671"/>
    </row>
    <row r="22" spans="1:10" x14ac:dyDescent="0.15">
      <c r="A22" s="15" t="s">
        <v>79</v>
      </c>
      <c r="B22" s="15" t="s">
        <v>85</v>
      </c>
      <c r="C22" s="33" t="s">
        <v>429</v>
      </c>
      <c r="D22" s="51" t="s">
        <v>85</v>
      </c>
      <c r="E22" s="223">
        <f>'Food requirements'!I23</f>
        <v>0.60607195932207913</v>
      </c>
      <c r="F22" s="631" t="s">
        <v>68</v>
      </c>
      <c r="G22" s="221">
        <f>E22/Mustard_Greens</f>
        <v>4.2234979743698892E-5</v>
      </c>
      <c r="H22" s="631" t="s">
        <v>68</v>
      </c>
      <c r="I22" s="631" t="s">
        <v>68</v>
      </c>
      <c r="J22" s="671"/>
    </row>
    <row r="23" spans="1:10" x14ac:dyDescent="0.15">
      <c r="A23" s="15" t="s">
        <v>79</v>
      </c>
      <c r="B23" s="15" t="s">
        <v>86</v>
      </c>
      <c r="C23" s="33" t="s">
        <v>429</v>
      </c>
      <c r="D23" s="51" t="s">
        <v>86</v>
      </c>
      <c r="E23" s="223">
        <f>'Food requirements'!I24</f>
        <v>1.3537269856306713</v>
      </c>
      <c r="F23" s="631" t="s">
        <v>68</v>
      </c>
      <c r="G23" s="221">
        <f>E23/Spinach_Fresh</f>
        <v>8.6274605109718335E-5</v>
      </c>
      <c r="H23" s="631" t="s">
        <v>68</v>
      </c>
      <c r="I23" s="631" t="s">
        <v>68</v>
      </c>
      <c r="J23" s="671"/>
    </row>
    <row r="24" spans="1:10" x14ac:dyDescent="0.15">
      <c r="A24" s="15" t="s">
        <v>79</v>
      </c>
      <c r="B24" s="15" t="s">
        <v>86</v>
      </c>
      <c r="C24" s="33" t="s">
        <v>432</v>
      </c>
      <c r="D24" s="51" t="s">
        <v>86</v>
      </c>
      <c r="E24" s="223">
        <f>'Food requirements'!I25</f>
        <v>0.80760504289206558</v>
      </c>
      <c r="F24" s="631" t="s">
        <v>68</v>
      </c>
      <c r="G24" s="221">
        <f>E24/Spinach_Frozen</f>
        <v>4.5085543401404385E-5</v>
      </c>
      <c r="H24" s="631" t="s">
        <v>68</v>
      </c>
      <c r="I24" s="631" t="s">
        <v>68</v>
      </c>
      <c r="J24" s="671"/>
    </row>
    <row r="25" spans="1:10" x14ac:dyDescent="0.15">
      <c r="A25" s="25" t="s">
        <v>79</v>
      </c>
      <c r="B25" s="25" t="s">
        <v>87</v>
      </c>
      <c r="C25" s="34" t="s">
        <v>429</v>
      </c>
      <c r="D25" s="58" t="s">
        <v>601</v>
      </c>
      <c r="E25" s="224">
        <f>'Food requirements'!I26</f>
        <v>0.53461677965225018</v>
      </c>
      <c r="F25" s="654" t="s">
        <v>68</v>
      </c>
      <c r="G25" s="320">
        <f>E25/Turnip_Greens</f>
        <v>4.473780582864018E-5</v>
      </c>
      <c r="H25" s="654" t="s">
        <v>68</v>
      </c>
      <c r="I25" s="654" t="s">
        <v>68</v>
      </c>
      <c r="J25" s="673"/>
    </row>
    <row r="26" spans="1:10" x14ac:dyDescent="0.15">
      <c r="A26" s="68" t="s">
        <v>1224</v>
      </c>
      <c r="B26" s="15" t="s">
        <v>89</v>
      </c>
      <c r="C26" s="33" t="s">
        <v>429</v>
      </c>
      <c r="D26" s="51" t="s">
        <v>89</v>
      </c>
      <c r="E26" s="223">
        <f>'Food requirements'!I28</f>
        <v>22.579925169954777</v>
      </c>
      <c r="F26" s="631" t="s">
        <v>68</v>
      </c>
      <c r="G26" s="221">
        <f>E26/Carrots_Fresh</f>
        <v>7.1455459398591064E-4</v>
      </c>
      <c r="H26" s="631" t="s">
        <v>68</v>
      </c>
      <c r="I26" s="631" t="s">
        <v>68</v>
      </c>
      <c r="J26" s="671"/>
    </row>
    <row r="27" spans="1:10" x14ac:dyDescent="0.15">
      <c r="A27" s="68" t="s">
        <v>1224</v>
      </c>
      <c r="B27" s="15" t="s">
        <v>89</v>
      </c>
      <c r="C27" s="33" t="s">
        <v>431</v>
      </c>
      <c r="D27" s="51" t="s">
        <v>89</v>
      </c>
      <c r="E27" s="223">
        <f>'Food requirements'!I29</f>
        <v>4.3515827144688979</v>
      </c>
      <c r="F27" s="631" t="s">
        <v>68</v>
      </c>
      <c r="G27" s="221">
        <f>E27/Carrots_Processed</f>
        <v>8.2487351127275338E-5</v>
      </c>
      <c r="H27" s="631" t="s">
        <v>68</v>
      </c>
      <c r="I27" s="631" t="s">
        <v>68</v>
      </c>
      <c r="J27" s="671"/>
    </row>
    <row r="28" spans="1:10" x14ac:dyDescent="0.15">
      <c r="A28" s="68" t="s">
        <v>1224</v>
      </c>
      <c r="B28" s="15" t="s">
        <v>89</v>
      </c>
      <c r="C28" s="33" t="s">
        <v>432</v>
      </c>
      <c r="D28" s="51" t="s">
        <v>89</v>
      </c>
      <c r="E28" s="223">
        <f>'Food requirements'!I30</f>
        <v>4.3901519054581684</v>
      </c>
      <c r="F28" s="631" t="s">
        <v>68</v>
      </c>
      <c r="G28" s="221">
        <f>E28/Carrots_Processed</f>
        <v>8.3218457625434863E-5</v>
      </c>
      <c r="H28" s="631" t="s">
        <v>68</v>
      </c>
      <c r="I28" s="631" t="s">
        <v>68</v>
      </c>
      <c r="J28" s="671"/>
    </row>
    <row r="29" spans="1:10" x14ac:dyDescent="0.15">
      <c r="A29" s="68" t="s">
        <v>1224</v>
      </c>
      <c r="B29" s="15" t="s">
        <v>90</v>
      </c>
      <c r="C29" s="33" t="s">
        <v>429</v>
      </c>
      <c r="D29" s="51" t="s">
        <v>90</v>
      </c>
      <c r="E29" s="223">
        <f>'Food requirements'!I31</f>
        <v>11.968728677688791</v>
      </c>
      <c r="F29" s="631" t="s">
        <v>68</v>
      </c>
      <c r="G29" s="221">
        <f>E29/Pumpkin</f>
        <v>5.2099729107470008E-4</v>
      </c>
      <c r="H29" s="631" t="s">
        <v>68</v>
      </c>
      <c r="I29" s="631" t="s">
        <v>68</v>
      </c>
      <c r="J29" s="671"/>
    </row>
    <row r="30" spans="1:10" x14ac:dyDescent="0.15">
      <c r="A30" s="68" t="s">
        <v>1224</v>
      </c>
      <c r="B30" s="15" t="s">
        <v>91</v>
      </c>
      <c r="C30" s="33" t="s">
        <v>429</v>
      </c>
      <c r="D30" s="51" t="s">
        <v>443</v>
      </c>
      <c r="E30" s="223">
        <f>'Food requirements'!I32</f>
        <v>7.2622100372401581</v>
      </c>
      <c r="F30" s="631" t="s">
        <v>68</v>
      </c>
      <c r="G30" s="221">
        <f>E30/Squash_All</f>
        <v>4.6363499947557602E-4</v>
      </c>
      <c r="H30" s="631" t="s">
        <v>68</v>
      </c>
      <c r="I30" s="631" t="s">
        <v>68</v>
      </c>
      <c r="J30" s="671"/>
    </row>
    <row r="31" spans="1:10" x14ac:dyDescent="0.15">
      <c r="A31" s="68" t="s">
        <v>1224</v>
      </c>
      <c r="B31" s="315" t="s">
        <v>92</v>
      </c>
      <c r="C31" s="99" t="s">
        <v>429</v>
      </c>
      <c r="D31" s="86" t="s">
        <v>92</v>
      </c>
      <c r="E31" s="298">
        <f>'Food requirements'!I33</f>
        <v>9.7907530030079588</v>
      </c>
      <c r="F31" s="691" t="s">
        <v>68</v>
      </c>
      <c r="G31" s="692">
        <f>E31/Sweet_Potatoes</f>
        <v>5.7626562701636012E-4</v>
      </c>
      <c r="H31" s="691" t="s">
        <v>68</v>
      </c>
      <c r="I31" s="691" t="s">
        <v>68</v>
      </c>
      <c r="J31" s="671"/>
    </row>
    <row r="32" spans="1:10" s="308" customFormat="1" x14ac:dyDescent="0.15">
      <c r="A32" s="68" t="s">
        <v>1224</v>
      </c>
      <c r="B32" s="315" t="s">
        <v>121</v>
      </c>
      <c r="C32" s="99" t="s">
        <v>429</v>
      </c>
      <c r="D32" s="86" t="s">
        <v>121</v>
      </c>
      <c r="E32" s="298">
        <f>'Food requirements'!I34</f>
        <v>42.886483196116018</v>
      </c>
      <c r="F32" s="691" t="s">
        <v>68</v>
      </c>
      <c r="G32" s="692">
        <f>E32/Tomatoes_Fresh</f>
        <v>1.433023436079211E-3</v>
      </c>
      <c r="H32" s="691" t="s">
        <v>68</v>
      </c>
      <c r="I32" s="691" t="s">
        <v>68</v>
      </c>
      <c r="J32" s="671"/>
    </row>
    <row r="33" spans="1:10" s="308" customFormat="1" x14ac:dyDescent="0.15">
      <c r="A33" s="166" t="s">
        <v>1224</v>
      </c>
      <c r="B33" s="25" t="s">
        <v>121</v>
      </c>
      <c r="C33" s="34" t="s">
        <v>431</v>
      </c>
      <c r="D33" s="58" t="s">
        <v>121</v>
      </c>
      <c r="E33" s="224">
        <f>'Food requirements'!I35</f>
        <v>192.41760668592647</v>
      </c>
      <c r="F33" s="654" t="s">
        <v>68</v>
      </c>
      <c r="G33" s="320">
        <f>E33/Tomatoes_Processed</f>
        <v>2.5017063488939218E-3</v>
      </c>
      <c r="H33" s="654" t="s">
        <v>68</v>
      </c>
      <c r="I33" s="654" t="s">
        <v>68</v>
      </c>
      <c r="J33" s="673"/>
    </row>
    <row r="34" spans="1:10" x14ac:dyDescent="0.15">
      <c r="A34" s="15" t="s">
        <v>93</v>
      </c>
      <c r="B34" s="15" t="s">
        <v>94</v>
      </c>
      <c r="C34" s="33" t="s">
        <v>517</v>
      </c>
      <c r="D34" s="51" t="s">
        <v>602</v>
      </c>
      <c r="E34" s="223">
        <f>'Food requirements'!I37</f>
        <v>14.40739890702554</v>
      </c>
      <c r="F34" s="631" t="s">
        <v>68</v>
      </c>
      <c r="G34" s="321">
        <f>E34/Dry_beans</f>
        <v>8.6037669911661757E-3</v>
      </c>
      <c r="H34" s="631" t="s">
        <v>68</v>
      </c>
      <c r="I34" s="631" t="s">
        <v>68</v>
      </c>
      <c r="J34" s="671"/>
    </row>
    <row r="35" spans="1:10" x14ac:dyDescent="0.15">
      <c r="A35" s="25" t="s">
        <v>93</v>
      </c>
      <c r="B35" s="25" t="s">
        <v>95</v>
      </c>
      <c r="C35" s="34" t="s">
        <v>517</v>
      </c>
      <c r="D35" s="58" t="s">
        <v>603</v>
      </c>
      <c r="E35" s="224">
        <f>'Food requirements'!I38</f>
        <v>2.2470408264200858</v>
      </c>
      <c r="F35" s="654" t="s">
        <v>68</v>
      </c>
      <c r="G35" s="301">
        <f>E35/AVERAGE(Lentils,Dry_peas)</f>
        <v>1.474568178411391E-3</v>
      </c>
      <c r="H35" s="654" t="s">
        <v>68</v>
      </c>
      <c r="I35" s="654" t="s">
        <v>68</v>
      </c>
      <c r="J35" s="673"/>
    </row>
    <row r="36" spans="1:10" x14ac:dyDescent="0.15">
      <c r="A36" s="15" t="s">
        <v>97</v>
      </c>
      <c r="B36" s="15" t="s">
        <v>101</v>
      </c>
      <c r="C36" s="33" t="s">
        <v>431</v>
      </c>
      <c r="D36" s="51" t="s">
        <v>101</v>
      </c>
      <c r="E36" s="223">
        <f>'Food requirements'!I39</f>
        <v>1.6309648408926869</v>
      </c>
      <c r="F36" s="631" t="s">
        <v>68</v>
      </c>
      <c r="G36" s="221">
        <f>E36/Green_Peas_Canned</f>
        <v>4.377894887706089E-4</v>
      </c>
      <c r="H36" s="631" t="s">
        <v>68</v>
      </c>
      <c r="I36" s="631" t="s">
        <v>68</v>
      </c>
      <c r="J36" s="671"/>
    </row>
    <row r="37" spans="1:10" x14ac:dyDescent="0.15">
      <c r="A37" s="15" t="s">
        <v>97</v>
      </c>
      <c r="B37" s="15" t="s">
        <v>101</v>
      </c>
      <c r="C37" s="33" t="s">
        <v>432</v>
      </c>
      <c r="D37" s="51" t="s">
        <v>101</v>
      </c>
      <c r="E37" s="223">
        <f>'Food requirements'!I40</f>
        <v>2.6423095436858008</v>
      </c>
      <c r="F37" s="631" t="s">
        <v>68</v>
      </c>
      <c r="G37" s="221">
        <f>E37/Green_Peas_Frozen</f>
        <v>6.64200296630343E-4</v>
      </c>
      <c r="H37" s="631" t="s">
        <v>68</v>
      </c>
      <c r="I37" s="631" t="s">
        <v>68</v>
      </c>
      <c r="J37" s="671"/>
    </row>
    <row r="38" spans="1:10" x14ac:dyDescent="0.15">
      <c r="A38" s="15" t="s">
        <v>97</v>
      </c>
      <c r="B38" s="15" t="s">
        <v>98</v>
      </c>
      <c r="C38" s="33" t="s">
        <v>429</v>
      </c>
      <c r="D38" s="51" t="s">
        <v>604</v>
      </c>
      <c r="E38" s="223">
        <f>'Food requirements'!I41</f>
        <v>3.9787438893857885E-2</v>
      </c>
      <c r="F38" s="631" t="s">
        <v>68</v>
      </c>
      <c r="G38" s="221">
        <f>E38/Beans_Lima_Fresh</f>
        <v>1.4736088479206625E-5</v>
      </c>
      <c r="H38" s="631" t="s">
        <v>68</v>
      </c>
      <c r="I38" s="631" t="s">
        <v>68</v>
      </c>
      <c r="J38" s="671"/>
    </row>
    <row r="39" spans="1:10" x14ac:dyDescent="0.15">
      <c r="A39" s="15" t="s">
        <v>97</v>
      </c>
      <c r="B39" s="15" t="s">
        <v>98</v>
      </c>
      <c r="C39" s="33" t="s">
        <v>432</v>
      </c>
      <c r="D39" s="51" t="s">
        <v>604</v>
      </c>
      <c r="E39" s="223">
        <f>'Food requirements'!I42</f>
        <v>0.5359332570329709</v>
      </c>
      <c r="F39" s="631" t="s">
        <v>68</v>
      </c>
      <c r="G39" s="221">
        <f>E39/Beans_Lima_Frozen</f>
        <v>1.9716608118269832E-4</v>
      </c>
      <c r="H39" s="631" t="s">
        <v>68</v>
      </c>
      <c r="I39" s="631" t="s">
        <v>68</v>
      </c>
      <c r="J39" s="671"/>
    </row>
    <row r="40" spans="1:10" x14ac:dyDescent="0.15">
      <c r="A40" s="15" t="s">
        <v>97</v>
      </c>
      <c r="B40" s="15" t="s">
        <v>99</v>
      </c>
      <c r="C40" s="33" t="s">
        <v>429</v>
      </c>
      <c r="D40" s="51" t="s">
        <v>99</v>
      </c>
      <c r="E40" s="223">
        <f>'Food requirements'!I43</f>
        <v>92.47058067519545</v>
      </c>
      <c r="F40" s="631" t="s">
        <v>68</v>
      </c>
      <c r="G40" s="221">
        <f>E40/Potatoes_All</f>
        <v>2.3967398384240101E-3</v>
      </c>
      <c r="H40" s="631" t="s">
        <v>68</v>
      </c>
      <c r="I40" s="631" t="s">
        <v>68</v>
      </c>
      <c r="J40" s="671"/>
    </row>
    <row r="41" spans="1:10" x14ac:dyDescent="0.15">
      <c r="A41" s="15" t="s">
        <v>97</v>
      </c>
      <c r="B41" s="15" t="s">
        <v>99</v>
      </c>
      <c r="C41" s="33" t="s">
        <v>431</v>
      </c>
      <c r="D41" s="51" t="s">
        <v>99</v>
      </c>
      <c r="E41" s="223">
        <f>'Food requirements'!I44</f>
        <v>1.4967448902357827</v>
      </c>
      <c r="F41" s="631" t="s">
        <v>68</v>
      </c>
      <c r="G41" s="221">
        <f>E41/Potatoes_All</f>
        <v>3.8794047579155535E-5</v>
      </c>
      <c r="H41" s="631" t="s">
        <v>68</v>
      </c>
      <c r="I41" s="631" t="s">
        <v>68</v>
      </c>
      <c r="J41" s="671"/>
    </row>
    <row r="42" spans="1:10" x14ac:dyDescent="0.15">
      <c r="A42" s="15" t="s">
        <v>97</v>
      </c>
      <c r="B42" s="15" t="s">
        <v>99</v>
      </c>
      <c r="C42" s="33" t="s">
        <v>432</v>
      </c>
      <c r="D42" s="51" t="s">
        <v>99</v>
      </c>
      <c r="E42" s="223">
        <f>'Food requirements'!I45</f>
        <v>92.033906857451981</v>
      </c>
      <c r="F42" s="631" t="s">
        <v>68</v>
      </c>
      <c r="G42" s="221">
        <f>E42/Potatoes_All</f>
        <v>2.3854217140244385E-3</v>
      </c>
      <c r="H42" s="631" t="s">
        <v>68</v>
      </c>
      <c r="I42" s="631" t="s">
        <v>68</v>
      </c>
      <c r="J42" s="671"/>
    </row>
    <row r="43" spans="1:10" x14ac:dyDescent="0.15">
      <c r="A43" s="15" t="s">
        <v>97</v>
      </c>
      <c r="B43" s="15" t="s">
        <v>99</v>
      </c>
      <c r="C43" s="33" t="s">
        <v>518</v>
      </c>
      <c r="D43" s="51" t="s">
        <v>99</v>
      </c>
      <c r="E43" s="223">
        <f>'Food requirements'!I46</f>
        <v>54.433055520071044</v>
      </c>
      <c r="F43" s="631" t="s">
        <v>68</v>
      </c>
      <c r="G43" s="221">
        <f>E43/Potatoes_All</f>
        <v>1.4108473391158847E-3</v>
      </c>
      <c r="H43" s="631" t="s">
        <v>68</v>
      </c>
      <c r="I43" s="631" t="s">
        <v>68</v>
      </c>
      <c r="J43" s="671"/>
    </row>
    <row r="44" spans="1:10" x14ac:dyDescent="0.15">
      <c r="A44" s="15" t="s">
        <v>97</v>
      </c>
      <c r="B44" s="15" t="s">
        <v>100</v>
      </c>
      <c r="C44" s="33" t="s">
        <v>429</v>
      </c>
      <c r="D44" s="51" t="s">
        <v>100</v>
      </c>
      <c r="E44" s="223">
        <f>'Food requirements'!I47</f>
        <v>1.9768676838609864</v>
      </c>
      <c r="F44" s="631" t="s">
        <v>68</v>
      </c>
      <c r="G44" s="221">
        <f>E44/Corn_Sweet</f>
        <v>1.7028617480400039E-4</v>
      </c>
      <c r="H44" s="631" t="s">
        <v>68</v>
      </c>
      <c r="I44" s="631" t="s">
        <v>68</v>
      </c>
      <c r="J44" s="671"/>
    </row>
    <row r="45" spans="1:10" x14ac:dyDescent="0.15">
      <c r="A45" s="15" t="s">
        <v>97</v>
      </c>
      <c r="B45" s="15" t="s">
        <v>100</v>
      </c>
      <c r="C45" s="33" t="s">
        <v>431</v>
      </c>
      <c r="D45" s="51" t="s">
        <v>100</v>
      </c>
      <c r="E45" s="223">
        <f>'Food requirements'!I48</f>
        <v>12.666008865581022</v>
      </c>
      <c r="F45" s="631" t="s">
        <v>68</v>
      </c>
      <c r="G45" s="221">
        <f>E45/Corn_Canned</f>
        <v>8.7133269244147108E-4</v>
      </c>
      <c r="H45" s="631" t="s">
        <v>68</v>
      </c>
      <c r="I45" s="631" t="s">
        <v>68</v>
      </c>
      <c r="J45" s="671"/>
    </row>
    <row r="46" spans="1:10" x14ac:dyDescent="0.15">
      <c r="A46" s="25" t="s">
        <v>97</v>
      </c>
      <c r="B46" s="25" t="s">
        <v>100</v>
      </c>
      <c r="C46" s="34" t="s">
        <v>432</v>
      </c>
      <c r="D46" s="58" t="s">
        <v>100</v>
      </c>
      <c r="E46" s="224">
        <f>'Food requirements'!I49</f>
        <v>16.957768013135986</v>
      </c>
      <c r="F46" s="654" t="s">
        <v>68</v>
      </c>
      <c r="G46" s="320">
        <f>E46/Corn_Frozen</f>
        <v>1.049721148815396E-3</v>
      </c>
      <c r="H46" s="654" t="s">
        <v>68</v>
      </c>
      <c r="I46" s="654" t="s">
        <v>68</v>
      </c>
      <c r="J46" s="673"/>
    </row>
    <row r="47" spans="1:10" x14ac:dyDescent="0.15">
      <c r="A47" s="15" t="s">
        <v>102</v>
      </c>
      <c r="B47" s="15" t="s">
        <v>103</v>
      </c>
      <c r="C47" s="33" t="s">
        <v>429</v>
      </c>
      <c r="D47" s="51" t="s">
        <v>428</v>
      </c>
      <c r="E47" s="223">
        <f>'Food requirements'!I51</f>
        <v>1.577625085198014</v>
      </c>
      <c r="F47" s="631" t="s">
        <v>68</v>
      </c>
      <c r="G47" s="221">
        <f>E47/Artichoke</f>
        <v>1.2950653684461308E-4</v>
      </c>
      <c r="H47" s="631" t="s">
        <v>68</v>
      </c>
      <c r="I47" s="631" t="s">
        <v>68</v>
      </c>
      <c r="J47" s="671"/>
    </row>
    <row r="48" spans="1:10" x14ac:dyDescent="0.15">
      <c r="A48" s="15" t="s">
        <v>102</v>
      </c>
      <c r="B48" s="15" t="s">
        <v>104</v>
      </c>
      <c r="C48" s="33" t="s">
        <v>429</v>
      </c>
      <c r="D48" s="51" t="s">
        <v>104</v>
      </c>
      <c r="E48" s="223">
        <f>'Food requirements'!I52</f>
        <v>1.1631635234254922</v>
      </c>
      <c r="F48" s="631" t="s">
        <v>68</v>
      </c>
      <c r="G48" s="221">
        <f>E48/Asparagus_All</f>
        <v>3.8772117447516408E-4</v>
      </c>
      <c r="H48" s="631" t="s">
        <v>68</v>
      </c>
      <c r="I48" s="631" t="s">
        <v>68</v>
      </c>
      <c r="J48" s="671"/>
    </row>
    <row r="49" spans="1:10" x14ac:dyDescent="0.15">
      <c r="A49" s="15" t="s">
        <v>102</v>
      </c>
      <c r="B49" s="15" t="s">
        <v>104</v>
      </c>
      <c r="C49" s="33" t="s">
        <v>431</v>
      </c>
      <c r="D49" s="51" t="s">
        <v>104</v>
      </c>
      <c r="E49" s="223">
        <f>'Food requirements'!I53</f>
        <v>0.2265806156015471</v>
      </c>
      <c r="F49" s="631" t="s">
        <v>68</v>
      </c>
      <c r="G49" s="221">
        <f>E49/Asparagus_All</f>
        <v>7.5526871867182368E-5</v>
      </c>
      <c r="H49" s="631" t="s">
        <v>68</v>
      </c>
      <c r="I49" s="631" t="s">
        <v>68</v>
      </c>
      <c r="J49" s="671"/>
    </row>
    <row r="50" spans="1:10" x14ac:dyDescent="0.15">
      <c r="A50" s="15" t="s">
        <v>102</v>
      </c>
      <c r="B50" s="15" t="s">
        <v>104</v>
      </c>
      <c r="C50" s="33" t="s">
        <v>432</v>
      </c>
      <c r="D50" s="51" t="s">
        <v>104</v>
      </c>
      <c r="E50" s="223">
        <f>'Food requirements'!I54</f>
        <v>0.12362449976524004</v>
      </c>
      <c r="F50" s="631" t="s">
        <v>68</v>
      </c>
      <c r="G50" s="221">
        <f>E50/Asparagus_All</f>
        <v>4.1208166588413348E-5</v>
      </c>
      <c r="H50" s="631" t="s">
        <v>68</v>
      </c>
      <c r="I50" s="631" t="s">
        <v>68</v>
      </c>
      <c r="J50" s="671"/>
    </row>
    <row r="51" spans="1:10" x14ac:dyDescent="0.15">
      <c r="A51" s="15" t="s">
        <v>102</v>
      </c>
      <c r="B51" s="15" t="s">
        <v>105</v>
      </c>
      <c r="C51" s="33" t="s">
        <v>429</v>
      </c>
      <c r="D51" s="51" t="s">
        <v>605</v>
      </c>
      <c r="E51" s="223">
        <f>'Food requirements'!I55</f>
        <v>9.6461623163236609</v>
      </c>
      <c r="F51" s="631" t="s">
        <v>68</v>
      </c>
      <c r="G51" s="221">
        <f>E51/Bell_Peppers</f>
        <v>3.2389433907069684E-4</v>
      </c>
      <c r="H51" s="631" t="s">
        <v>68</v>
      </c>
      <c r="I51" s="631" t="s">
        <v>68</v>
      </c>
      <c r="J51" s="671"/>
    </row>
    <row r="52" spans="1:10" x14ac:dyDescent="0.15">
      <c r="A52" s="15" t="s">
        <v>102</v>
      </c>
      <c r="B52" s="15" t="s">
        <v>106</v>
      </c>
      <c r="C52" s="33" t="s">
        <v>429</v>
      </c>
      <c r="D52" s="51" t="s">
        <v>435</v>
      </c>
      <c r="E52" s="223">
        <f>'Food requirements'!I56</f>
        <v>0.38080254197926111</v>
      </c>
      <c r="F52" s="631" t="s">
        <v>68</v>
      </c>
      <c r="G52" s="221">
        <f>E52/Brussels_Sprouts</f>
        <v>2.1155696776625618E-5</v>
      </c>
      <c r="H52" s="631" t="s">
        <v>68</v>
      </c>
      <c r="I52" s="631" t="s">
        <v>68</v>
      </c>
      <c r="J52" s="671"/>
    </row>
    <row r="53" spans="1:10" x14ac:dyDescent="0.15">
      <c r="A53" s="15" t="s">
        <v>102</v>
      </c>
      <c r="B53" s="15" t="s">
        <v>107</v>
      </c>
      <c r="C53" s="33" t="s">
        <v>429</v>
      </c>
      <c r="D53" s="51" t="s">
        <v>107</v>
      </c>
      <c r="E53" s="223">
        <f>'Food requirements'!I57</f>
        <v>10.115800867880708</v>
      </c>
      <c r="F53" s="631" t="s">
        <v>68</v>
      </c>
      <c r="G53" s="221">
        <f>E53/Cabbage_Fresh</f>
        <v>3.0188228308922357E-4</v>
      </c>
      <c r="H53" s="631" t="s">
        <v>68</v>
      </c>
      <c r="I53" s="631" t="s">
        <v>68</v>
      </c>
      <c r="J53" s="671"/>
    </row>
    <row r="54" spans="1:10" x14ac:dyDescent="0.15">
      <c r="A54" s="15" t="s">
        <v>102</v>
      </c>
      <c r="B54" s="15" t="s">
        <v>107</v>
      </c>
      <c r="C54" s="33" t="s">
        <v>431</v>
      </c>
      <c r="D54" s="51" t="s">
        <v>107</v>
      </c>
      <c r="E54" s="223">
        <f>'Food requirements'!I58</f>
        <v>1.6296549525328148</v>
      </c>
      <c r="F54" s="631" t="s">
        <v>68</v>
      </c>
      <c r="G54" s="221">
        <f>E54/Cabbage_Processed</f>
        <v>3.0852990392518263E-5</v>
      </c>
      <c r="H54" s="631" t="s">
        <v>68</v>
      </c>
      <c r="I54" s="631" t="s">
        <v>68</v>
      </c>
      <c r="J54" s="671"/>
    </row>
    <row r="55" spans="1:10" x14ac:dyDescent="0.15">
      <c r="A55" s="15" t="s">
        <v>102</v>
      </c>
      <c r="B55" s="15" t="s">
        <v>108</v>
      </c>
      <c r="C55" s="33" t="s">
        <v>429</v>
      </c>
      <c r="D55" s="15" t="s">
        <v>108</v>
      </c>
      <c r="E55" s="223">
        <f>'Food requirements'!I59</f>
        <v>1.4128636706082687</v>
      </c>
      <c r="F55" s="631" t="s">
        <v>68</v>
      </c>
      <c r="G55" s="221">
        <f>E55/Cauliflower_All</f>
        <v>8.2317268944337685E-5</v>
      </c>
      <c r="H55" s="631" t="s">
        <v>68</v>
      </c>
      <c r="I55" s="631" t="s">
        <v>68</v>
      </c>
      <c r="J55" s="671"/>
    </row>
    <row r="56" spans="1:10" x14ac:dyDescent="0.15">
      <c r="A56" s="15" t="s">
        <v>102</v>
      </c>
      <c r="B56" s="15" t="s">
        <v>108</v>
      </c>
      <c r="C56" s="33" t="s">
        <v>432</v>
      </c>
      <c r="D56" s="15" t="s">
        <v>108</v>
      </c>
      <c r="E56" s="223">
        <f>'Food requirements'!I60</f>
        <v>0.46967606272721807</v>
      </c>
      <c r="F56" s="631" t="s">
        <v>68</v>
      </c>
      <c r="G56" s="221">
        <f>E56/Cauliflower_All</f>
        <v>2.7364601112284949E-5</v>
      </c>
      <c r="H56" s="631" t="s">
        <v>68</v>
      </c>
      <c r="I56" s="631" t="s">
        <v>68</v>
      </c>
      <c r="J56" s="671"/>
    </row>
    <row r="57" spans="1:10" x14ac:dyDescent="0.15">
      <c r="A57" s="15" t="s">
        <v>102</v>
      </c>
      <c r="B57" s="15" t="s">
        <v>109</v>
      </c>
      <c r="C57" s="33" t="s">
        <v>429</v>
      </c>
      <c r="D57" s="15" t="s">
        <v>109</v>
      </c>
      <c r="E57" s="223">
        <f>'Food requirements'!I61</f>
        <v>7.8244075170070584</v>
      </c>
      <c r="F57" s="631" t="s">
        <v>68</v>
      </c>
      <c r="G57" s="221">
        <f>E57/Celery</f>
        <v>1.1192260427448328E-4</v>
      </c>
      <c r="H57" s="631" t="s">
        <v>68</v>
      </c>
      <c r="I57" s="631" t="s">
        <v>68</v>
      </c>
      <c r="J57" s="671"/>
    </row>
    <row r="58" spans="1:10" x14ac:dyDescent="0.15">
      <c r="A58" s="15" t="s">
        <v>102</v>
      </c>
      <c r="B58" s="15" t="s">
        <v>681</v>
      </c>
      <c r="C58" s="33" t="s">
        <v>431</v>
      </c>
      <c r="D58" s="15" t="s">
        <v>681</v>
      </c>
      <c r="E58" s="223">
        <f>'Food requirements'!I62</f>
        <v>8.0353665958315315</v>
      </c>
      <c r="F58" s="631" t="s">
        <v>68</v>
      </c>
      <c r="G58" s="221">
        <f>E58/Chile_Peppers</f>
        <v>5.2864253919944286E-4</v>
      </c>
      <c r="H58" s="631" t="s">
        <v>68</v>
      </c>
      <c r="I58" s="631" t="s">
        <v>68</v>
      </c>
      <c r="J58" s="671"/>
    </row>
    <row r="59" spans="1:10" x14ac:dyDescent="0.15">
      <c r="A59" s="15" t="s">
        <v>102</v>
      </c>
      <c r="B59" s="15" t="s">
        <v>111</v>
      </c>
      <c r="C59" s="33" t="s">
        <v>429</v>
      </c>
      <c r="D59" s="15" t="s">
        <v>111</v>
      </c>
      <c r="E59" s="223">
        <f>'Food requirements'!I63</f>
        <v>3.3235769514474738</v>
      </c>
      <c r="F59" s="631" t="s">
        <v>68</v>
      </c>
      <c r="G59" s="221">
        <f>E59/Cucumbers_Fresh</f>
        <v>1.7542872584415647E-4</v>
      </c>
      <c r="H59" s="631" t="s">
        <v>68</v>
      </c>
      <c r="I59" s="631" t="s">
        <v>68</v>
      </c>
      <c r="J59" s="671"/>
    </row>
    <row r="60" spans="1:10" x14ac:dyDescent="0.15">
      <c r="A60" s="15" t="s">
        <v>102</v>
      </c>
      <c r="B60" s="15" t="s">
        <v>111</v>
      </c>
      <c r="C60" s="33" t="s">
        <v>431</v>
      </c>
      <c r="D60" s="15" t="s">
        <v>111</v>
      </c>
      <c r="E60" s="223">
        <f>'Food requirements'!I64</f>
        <v>3.7610619154168723</v>
      </c>
      <c r="F60" s="631" t="s">
        <v>68</v>
      </c>
      <c r="G60" s="221">
        <f>E60/Cucumbers_Processed</f>
        <v>3.4459171305668498E-4</v>
      </c>
      <c r="H60" s="631" t="s">
        <v>68</v>
      </c>
      <c r="I60" s="631" t="s">
        <v>68</v>
      </c>
      <c r="J60" s="671"/>
    </row>
    <row r="61" spans="1:10" x14ac:dyDescent="0.15">
      <c r="A61" s="15" t="s">
        <v>102</v>
      </c>
      <c r="B61" s="15" t="s">
        <v>112</v>
      </c>
      <c r="C61" s="33" t="s">
        <v>429</v>
      </c>
      <c r="D61" s="15" t="s">
        <v>112</v>
      </c>
      <c r="E61" s="223">
        <f>'Food requirements'!I65</f>
        <v>1.0951939801068804</v>
      </c>
      <c r="F61" s="631" t="s">
        <v>68</v>
      </c>
      <c r="G61" s="221">
        <f>E61/Eggplant</f>
        <v>3.9752957535639945E-5</v>
      </c>
      <c r="H61" s="631" t="s">
        <v>68</v>
      </c>
      <c r="I61" s="631" t="s">
        <v>68</v>
      </c>
      <c r="J61" s="671"/>
    </row>
    <row r="62" spans="1:10" x14ac:dyDescent="0.15">
      <c r="A62" s="15" t="s">
        <v>102</v>
      </c>
      <c r="B62" s="15" t="s">
        <v>113</v>
      </c>
      <c r="C62" s="33" t="s">
        <v>429</v>
      </c>
      <c r="D62" s="15" t="s">
        <v>113</v>
      </c>
      <c r="E62" s="223">
        <f>'Food requirements'!I66</f>
        <v>3.5624922846641414</v>
      </c>
      <c r="F62" s="631" t="s">
        <v>68</v>
      </c>
      <c r="G62" s="221">
        <f>E62/Garlic</f>
        <v>2.1320682878838714E-4</v>
      </c>
      <c r="H62" s="631" t="s">
        <v>68</v>
      </c>
      <c r="I62" s="631" t="s">
        <v>68</v>
      </c>
      <c r="J62" s="671"/>
    </row>
    <row r="63" spans="1:10" x14ac:dyDescent="0.15">
      <c r="A63" s="15" t="s">
        <v>102</v>
      </c>
      <c r="B63" s="15" t="s">
        <v>114</v>
      </c>
      <c r="C63" s="33" t="s">
        <v>429</v>
      </c>
      <c r="D63" s="15" t="s">
        <v>114</v>
      </c>
      <c r="E63" s="223">
        <f>'Food requirements'!I67</f>
        <v>15.438928325754199</v>
      </c>
      <c r="F63" s="631" t="s">
        <v>68</v>
      </c>
      <c r="G63" s="221">
        <f>E63/Lettuce_Head</f>
        <v>4.2235317479058987E-4</v>
      </c>
      <c r="H63" s="631" t="s">
        <v>68</v>
      </c>
      <c r="I63" s="631" t="s">
        <v>68</v>
      </c>
      <c r="J63" s="671"/>
    </row>
    <row r="64" spans="1:10" x14ac:dyDescent="0.15">
      <c r="A64" s="15" t="s">
        <v>102</v>
      </c>
      <c r="B64" s="15" t="s">
        <v>115</v>
      </c>
      <c r="C64" s="33" t="s">
        <v>429</v>
      </c>
      <c r="D64" s="15" t="s">
        <v>115</v>
      </c>
      <c r="E64" s="223">
        <f>'Food requirements'!I68</f>
        <v>0</v>
      </c>
      <c r="F64" s="631" t="s">
        <v>68</v>
      </c>
      <c r="G64" s="293" t="s">
        <v>68</v>
      </c>
      <c r="H64" s="631" t="s">
        <v>68</v>
      </c>
      <c r="I64" s="631" t="s">
        <v>68</v>
      </c>
      <c r="J64" s="672" t="s">
        <v>1296</v>
      </c>
    </row>
    <row r="65" spans="1:10" x14ac:dyDescent="0.15">
      <c r="A65" s="15" t="s">
        <v>102</v>
      </c>
      <c r="B65" s="15" t="s">
        <v>115</v>
      </c>
      <c r="C65" s="33" t="s">
        <v>431</v>
      </c>
      <c r="D65" s="15" t="s">
        <v>115</v>
      </c>
      <c r="E65" s="223">
        <f>'Food requirements'!I69</f>
        <v>0</v>
      </c>
      <c r="F65" s="631" t="s">
        <v>68</v>
      </c>
      <c r="G65" s="293" t="s">
        <v>68</v>
      </c>
      <c r="H65" s="631" t="s">
        <v>68</v>
      </c>
      <c r="I65" s="631" t="s">
        <v>68</v>
      </c>
      <c r="J65" s="672" t="s">
        <v>1296</v>
      </c>
    </row>
    <row r="66" spans="1:10" x14ac:dyDescent="0.15">
      <c r="A66" s="15" t="s">
        <v>102</v>
      </c>
      <c r="B66" s="15" t="s">
        <v>116</v>
      </c>
      <c r="C66" s="33" t="s">
        <v>429</v>
      </c>
      <c r="D66" s="15" t="s">
        <v>116</v>
      </c>
      <c r="E66" s="223">
        <f>'Food requirements'!I70</f>
        <v>0.52032105717380672</v>
      </c>
      <c r="F66" s="631" t="s">
        <v>68</v>
      </c>
      <c r="G66" s="221">
        <f>E66/Okra</f>
        <v>8.1300165183407301E-5</v>
      </c>
      <c r="H66" s="631" t="s">
        <v>68</v>
      </c>
      <c r="I66" s="631" t="s">
        <v>68</v>
      </c>
      <c r="J66" s="671"/>
    </row>
    <row r="67" spans="1:10" x14ac:dyDescent="0.15">
      <c r="A67" s="15" t="s">
        <v>102</v>
      </c>
      <c r="B67" s="15" t="s">
        <v>117</v>
      </c>
      <c r="C67" s="33" t="s">
        <v>429</v>
      </c>
      <c r="D67" s="15" t="s">
        <v>117</v>
      </c>
      <c r="E67" s="223">
        <f>'Food requirements'!I71</f>
        <v>24.657491825874917</v>
      </c>
      <c r="F67" s="631" t="s">
        <v>68</v>
      </c>
      <c r="G67" s="221">
        <f>E67/Onions_All</f>
        <v>5.3203689698827798E-4</v>
      </c>
      <c r="H67" s="631" t="s">
        <v>68</v>
      </c>
      <c r="I67" s="631" t="s">
        <v>68</v>
      </c>
      <c r="J67" s="671"/>
    </row>
    <row r="68" spans="1:10" x14ac:dyDescent="0.15">
      <c r="A68" s="15" t="s">
        <v>102</v>
      </c>
      <c r="B68" s="15" t="s">
        <v>117</v>
      </c>
      <c r="C68" s="33" t="s">
        <v>519</v>
      </c>
      <c r="D68" s="15" t="s">
        <v>117</v>
      </c>
      <c r="E68" s="223">
        <f>'Food requirements'!I72</f>
        <v>3.6631423497075652</v>
      </c>
      <c r="F68" s="631" t="s">
        <v>68</v>
      </c>
      <c r="G68" s="221">
        <f>E68/Onions_All</f>
        <v>7.9039948699064768E-5</v>
      </c>
      <c r="H68" s="631" t="s">
        <v>68</v>
      </c>
      <c r="I68" s="631" t="s">
        <v>68</v>
      </c>
      <c r="J68" s="671"/>
    </row>
    <row r="69" spans="1:10" x14ac:dyDescent="0.15">
      <c r="A69" s="15" t="s">
        <v>102</v>
      </c>
      <c r="B69" s="15" t="s">
        <v>118</v>
      </c>
      <c r="C69" s="33" t="s">
        <v>429</v>
      </c>
      <c r="D69" s="15" t="s">
        <v>118</v>
      </c>
      <c r="E69" s="223">
        <f>'Food requirements'!I73</f>
        <v>0.65852315698454689</v>
      </c>
      <c r="F69" s="631" t="s">
        <v>68</v>
      </c>
      <c r="G69" s="221">
        <f>E69/Radish</f>
        <v>7.2365182086213948E-5</v>
      </c>
      <c r="H69" s="631" t="s">
        <v>68</v>
      </c>
      <c r="I69" s="631" t="s">
        <v>68</v>
      </c>
      <c r="J69" s="671"/>
    </row>
    <row r="70" spans="1:10" x14ac:dyDescent="0.15">
      <c r="A70" s="15" t="s">
        <v>102</v>
      </c>
      <c r="B70" s="15" t="s">
        <v>119</v>
      </c>
      <c r="C70" s="33" t="s">
        <v>429</v>
      </c>
      <c r="D70" s="15" t="s">
        <v>119</v>
      </c>
      <c r="E70" s="223">
        <f>'Food requirements'!I74</f>
        <v>2.4254913804594973</v>
      </c>
      <c r="F70" s="631" t="s">
        <v>68</v>
      </c>
      <c r="G70" s="221">
        <f>E70/Beans_Snap_Fresh</f>
        <v>3.9235889978021278E-4</v>
      </c>
      <c r="H70" s="631" t="s">
        <v>68</v>
      </c>
      <c r="I70" s="631" t="s">
        <v>68</v>
      </c>
      <c r="J70" s="671"/>
    </row>
    <row r="71" spans="1:10" x14ac:dyDescent="0.15">
      <c r="A71" s="15" t="s">
        <v>102</v>
      </c>
      <c r="B71" s="15" t="s">
        <v>119</v>
      </c>
      <c r="C71" s="33" t="s">
        <v>431</v>
      </c>
      <c r="D71" s="15" t="s">
        <v>119</v>
      </c>
      <c r="E71" s="223">
        <f>'Food requirements'!I75</f>
        <v>5.2401428754703723</v>
      </c>
      <c r="F71" s="631" t="s">
        <v>68</v>
      </c>
      <c r="G71" s="221">
        <f>E71/Beans_Snap_Canned</f>
        <v>6.7103110163182871E-4</v>
      </c>
      <c r="H71" s="631" t="s">
        <v>68</v>
      </c>
      <c r="I71" s="631" t="s">
        <v>68</v>
      </c>
      <c r="J71" s="671"/>
    </row>
    <row r="72" spans="1:10" x14ac:dyDescent="0.15">
      <c r="A72" s="15" t="s">
        <v>102</v>
      </c>
      <c r="B72" s="15" t="s">
        <v>119</v>
      </c>
      <c r="C72" s="33" t="s">
        <v>432</v>
      </c>
      <c r="D72" s="15" t="s">
        <v>119</v>
      </c>
      <c r="E72" s="223">
        <f>'Food requirements'!I76</f>
        <v>2.3657248850082579</v>
      </c>
      <c r="F72" s="631" t="s">
        <v>68</v>
      </c>
      <c r="G72" s="221">
        <f>E72/Beans_Snap_Frozen</f>
        <v>2.9781384453068021E-4</v>
      </c>
      <c r="H72" s="631" t="s">
        <v>68</v>
      </c>
      <c r="I72" s="631" t="s">
        <v>68</v>
      </c>
      <c r="J72" s="671"/>
    </row>
    <row r="73" spans="1:10" x14ac:dyDescent="0.15">
      <c r="A73" s="15" t="s">
        <v>102</v>
      </c>
      <c r="B73" s="15" t="s">
        <v>120</v>
      </c>
      <c r="C73" s="33" t="s">
        <v>429</v>
      </c>
      <c r="D73" s="51" t="s">
        <v>608</v>
      </c>
      <c r="E73" s="223">
        <f>'Food requirements'!I77</f>
        <v>3.0735695343998408</v>
      </c>
      <c r="F73" s="631" t="s">
        <v>68</v>
      </c>
      <c r="G73" s="221">
        <f>E73/Squash_All</f>
        <v>1.9622324363550929E-4</v>
      </c>
      <c r="H73" s="631" t="s">
        <v>68</v>
      </c>
      <c r="I73" s="631" t="s">
        <v>68</v>
      </c>
      <c r="J73" s="671"/>
    </row>
    <row r="74" spans="1:10" x14ac:dyDescent="0.15">
      <c r="A74" s="63" t="s">
        <v>123</v>
      </c>
      <c r="B74" s="63" t="s">
        <v>124</v>
      </c>
      <c r="C74" s="696" t="s">
        <v>429</v>
      </c>
      <c r="D74" s="63" t="s">
        <v>124</v>
      </c>
      <c r="E74" s="697">
        <f>'Food requirements'!I79</f>
        <v>20.62750796988912</v>
      </c>
      <c r="F74" s="698" t="s">
        <v>68</v>
      </c>
      <c r="G74" s="699">
        <f>E74/Orange_All</f>
        <v>7.2720123762074894E-4</v>
      </c>
      <c r="H74" s="698" t="s">
        <v>68</v>
      </c>
      <c r="I74" s="698" t="s">
        <v>68</v>
      </c>
      <c r="J74" s="674"/>
    </row>
    <row r="75" spans="1:10" x14ac:dyDescent="0.15">
      <c r="A75" s="15" t="s">
        <v>123</v>
      </c>
      <c r="B75" s="15" t="s">
        <v>124</v>
      </c>
      <c r="C75" s="33" t="s">
        <v>554</v>
      </c>
      <c r="D75" s="15" t="s">
        <v>124</v>
      </c>
      <c r="E75" s="223">
        <f>'Food requirements'!I80</f>
        <v>143.59929312027074</v>
      </c>
      <c r="F75" s="631" t="s">
        <v>68</v>
      </c>
      <c r="G75" s="221">
        <f>E75/Orange_All</f>
        <v>5.0624430169150924E-3</v>
      </c>
      <c r="H75" s="631" t="s">
        <v>68</v>
      </c>
      <c r="I75" s="631" t="s">
        <v>68</v>
      </c>
      <c r="J75" s="671"/>
    </row>
    <row r="76" spans="1:10" x14ac:dyDescent="0.15">
      <c r="A76" s="15" t="s">
        <v>123</v>
      </c>
      <c r="B76" s="15" t="s">
        <v>125</v>
      </c>
      <c r="C76" s="33" t="s">
        <v>429</v>
      </c>
      <c r="D76" s="15" t="s">
        <v>125</v>
      </c>
      <c r="E76" s="223">
        <f>'Food requirements'!I81</f>
        <v>5.0630656579311708</v>
      </c>
      <c r="F76" s="631" t="s">
        <v>68</v>
      </c>
      <c r="G76" s="221">
        <f>E76/Grapefruit</f>
        <v>1.5347077701357943E-4</v>
      </c>
      <c r="H76" s="631" t="s">
        <v>68</v>
      </c>
      <c r="I76" s="631" t="s">
        <v>68</v>
      </c>
      <c r="J76" s="671"/>
    </row>
    <row r="77" spans="1:10" x14ac:dyDescent="0.15">
      <c r="A77" s="15" t="s">
        <v>123</v>
      </c>
      <c r="B77" s="15" t="s">
        <v>125</v>
      </c>
      <c r="C77" s="33" t="s">
        <v>554</v>
      </c>
      <c r="D77" s="15" t="s">
        <v>125</v>
      </c>
      <c r="E77" s="223">
        <f>'Food requirements'!I82</f>
        <v>9.6089141398019322</v>
      </c>
      <c r="F77" s="631" t="s">
        <v>68</v>
      </c>
      <c r="G77" s="221">
        <f>E77/Grapefruit</f>
        <v>2.9126375578047466E-4</v>
      </c>
      <c r="H77" s="631" t="s">
        <v>68</v>
      </c>
      <c r="I77" s="631" t="s">
        <v>68</v>
      </c>
      <c r="J77" s="671"/>
    </row>
    <row r="78" spans="1:10" x14ac:dyDescent="0.15">
      <c r="A78" s="15" t="s">
        <v>123</v>
      </c>
      <c r="B78" s="15" t="s">
        <v>126</v>
      </c>
      <c r="C78" s="33" t="s">
        <v>429</v>
      </c>
      <c r="D78" s="15" t="s">
        <v>126</v>
      </c>
      <c r="E78" s="223">
        <f>'Food requirements'!I83</f>
        <v>5.9665945705413321</v>
      </c>
      <c r="F78" s="631" t="s">
        <v>68</v>
      </c>
      <c r="G78" s="221">
        <f>E78/Lemons</f>
        <v>2.1338658414218439E-4</v>
      </c>
      <c r="H78" s="631" t="s">
        <v>68</v>
      </c>
      <c r="I78" s="631" t="s">
        <v>68</v>
      </c>
      <c r="J78" s="671"/>
    </row>
    <row r="79" spans="1:10" x14ac:dyDescent="0.15">
      <c r="A79" s="15" t="s">
        <v>123</v>
      </c>
      <c r="B79" s="15" t="s">
        <v>126</v>
      </c>
      <c r="C79" s="33" t="s">
        <v>554</v>
      </c>
      <c r="D79" s="15" t="s">
        <v>126</v>
      </c>
      <c r="E79" s="223">
        <f>'Food requirements'!I84</f>
        <v>9.0158192152713532</v>
      </c>
      <c r="F79" s="631" t="s">
        <v>68</v>
      </c>
      <c r="G79" s="221">
        <f>E79/Lemons</f>
        <v>3.2243767241850284E-4</v>
      </c>
      <c r="H79" s="631" t="s">
        <v>68</v>
      </c>
      <c r="I79" s="631" t="s">
        <v>68</v>
      </c>
      <c r="J79" s="671"/>
    </row>
    <row r="80" spans="1:10" x14ac:dyDescent="0.15">
      <c r="A80" s="15" t="s">
        <v>123</v>
      </c>
      <c r="B80" s="15" t="s">
        <v>127</v>
      </c>
      <c r="C80" s="33" t="s">
        <v>429</v>
      </c>
      <c r="D80" s="15" t="s">
        <v>127</v>
      </c>
      <c r="E80" s="223">
        <f>'Food requirements'!I85</f>
        <v>5.6383011110088308</v>
      </c>
      <c r="F80" s="631" t="s">
        <v>68</v>
      </c>
      <c r="G80" s="221">
        <f>E80/Limes</f>
        <v>3.1090850765300333E-4</v>
      </c>
      <c r="H80" s="631" t="s">
        <v>68</v>
      </c>
      <c r="I80" s="631" t="s">
        <v>68</v>
      </c>
      <c r="J80" s="671"/>
    </row>
    <row r="81" spans="1:10" x14ac:dyDescent="0.15">
      <c r="A81" s="15" t="s">
        <v>123</v>
      </c>
      <c r="B81" s="15" t="s">
        <v>127</v>
      </c>
      <c r="C81" s="33" t="s">
        <v>554</v>
      </c>
      <c r="D81" s="15" t="s">
        <v>127</v>
      </c>
      <c r="E81" s="223">
        <f>'Food requirements'!I86</f>
        <v>1.7661736581163587</v>
      </c>
      <c r="F81" s="631" t="s">
        <v>68</v>
      </c>
      <c r="G81" s="221">
        <f>E81/Limes</f>
        <v>9.7390757515387834E-5</v>
      </c>
      <c r="H81" s="631" t="s">
        <v>68</v>
      </c>
      <c r="I81" s="631" t="s">
        <v>68</v>
      </c>
      <c r="J81" s="671"/>
    </row>
    <row r="82" spans="1:10" x14ac:dyDescent="0.15">
      <c r="A82" s="15" t="s">
        <v>123</v>
      </c>
      <c r="B82" s="15" t="s">
        <v>128</v>
      </c>
      <c r="C82" s="33" t="s">
        <v>429</v>
      </c>
      <c r="D82" s="15" t="s">
        <v>128</v>
      </c>
      <c r="E82" s="223">
        <f>'Food requirements'!I87</f>
        <v>6.5296811015155392</v>
      </c>
      <c r="F82" s="631" t="s">
        <v>68</v>
      </c>
      <c r="G82" s="221">
        <f>E82/Tangerines</f>
        <v>2.997185996263813E-4</v>
      </c>
      <c r="H82" s="631" t="s">
        <v>68</v>
      </c>
      <c r="I82" s="631" t="s">
        <v>68</v>
      </c>
      <c r="J82" s="671"/>
    </row>
    <row r="83" spans="1:10" x14ac:dyDescent="0.15">
      <c r="A83" s="15" t="s">
        <v>129</v>
      </c>
      <c r="B83" s="15" t="s">
        <v>130</v>
      </c>
      <c r="C83" s="33" t="s">
        <v>429</v>
      </c>
      <c r="D83" s="15" t="s">
        <v>130</v>
      </c>
      <c r="E83" s="223">
        <f>'Food requirements'!I89</f>
        <v>47.042910897177563</v>
      </c>
      <c r="F83" s="631" t="s">
        <v>68</v>
      </c>
      <c r="G83" s="221">
        <f>E83/Apples</f>
        <v>1.8108904964696242E-3</v>
      </c>
      <c r="H83" s="631" t="s">
        <v>68</v>
      </c>
      <c r="I83" s="631" t="s">
        <v>68</v>
      </c>
      <c r="J83" s="671"/>
    </row>
    <row r="84" spans="1:10" x14ac:dyDescent="0.15">
      <c r="A84" s="15" t="s">
        <v>129</v>
      </c>
      <c r="B84" s="15" t="s">
        <v>131</v>
      </c>
      <c r="C84" s="33" t="s">
        <v>431</v>
      </c>
      <c r="D84" s="15" t="s">
        <v>130</v>
      </c>
      <c r="E84" s="223">
        <f>'Food requirements'!I90</f>
        <v>10.802803382011758</v>
      </c>
      <c r="F84" s="631" t="s">
        <v>68</v>
      </c>
      <c r="G84" s="221">
        <f>E84/Apples</f>
        <v>4.1584786329386587E-4</v>
      </c>
      <c r="H84" s="631" t="s">
        <v>68</v>
      </c>
      <c r="I84" s="631" t="s">
        <v>68</v>
      </c>
      <c r="J84" s="671"/>
    </row>
    <row r="85" spans="1:10" x14ac:dyDescent="0.15">
      <c r="A85" s="15" t="s">
        <v>129</v>
      </c>
      <c r="B85" s="15" t="s">
        <v>130</v>
      </c>
      <c r="C85" s="33" t="s">
        <v>432</v>
      </c>
      <c r="D85" s="15" t="s">
        <v>130</v>
      </c>
      <c r="E85" s="223">
        <f>'Food requirements'!I91</f>
        <v>0.12056078062390427</v>
      </c>
      <c r="F85" s="631" t="s">
        <v>68</v>
      </c>
      <c r="G85" s="221">
        <f>E85/Apples</f>
        <v>4.6409196989526884E-6</v>
      </c>
      <c r="H85" s="631" t="s">
        <v>68</v>
      </c>
      <c r="I85" s="631" t="s">
        <v>68</v>
      </c>
      <c r="J85" s="671"/>
    </row>
    <row r="86" spans="1:10" x14ac:dyDescent="0.15">
      <c r="A86" s="15" t="s">
        <v>129</v>
      </c>
      <c r="B86" s="15" t="s">
        <v>130</v>
      </c>
      <c r="C86" s="33" t="s">
        <v>517</v>
      </c>
      <c r="D86" s="15" t="s">
        <v>130</v>
      </c>
      <c r="E86" s="223">
        <f>'Food requirements'!I92</f>
        <v>4.7506916365628289</v>
      </c>
      <c r="F86" s="631" t="s">
        <v>68</v>
      </c>
      <c r="G86" s="221">
        <f>E86/Apples</f>
        <v>1.8287521269916794E-4</v>
      </c>
      <c r="H86" s="631" t="s">
        <v>68</v>
      </c>
      <c r="I86" s="631" t="s">
        <v>68</v>
      </c>
      <c r="J86" s="671"/>
    </row>
    <row r="87" spans="1:10" x14ac:dyDescent="0.15">
      <c r="A87" s="15" t="s">
        <v>129</v>
      </c>
      <c r="B87" s="15" t="s">
        <v>130</v>
      </c>
      <c r="C87" s="33" t="s">
        <v>554</v>
      </c>
      <c r="D87" s="15" t="s">
        <v>130</v>
      </c>
      <c r="E87" s="223">
        <f>'Food requirements'!I93</f>
        <v>68.026199553269464</v>
      </c>
      <c r="F87" s="631" t="s">
        <v>68</v>
      </c>
      <c r="G87" s="221">
        <f>E87/Apples</f>
        <v>2.6186304361823149E-3</v>
      </c>
      <c r="H87" s="631" t="s">
        <v>68</v>
      </c>
      <c r="I87" s="631" t="s">
        <v>68</v>
      </c>
      <c r="J87" s="671"/>
    </row>
    <row r="88" spans="1:10" x14ac:dyDescent="0.15">
      <c r="A88" s="15" t="s">
        <v>129</v>
      </c>
      <c r="B88" s="15" t="s">
        <v>132</v>
      </c>
      <c r="C88" s="33" t="s">
        <v>429</v>
      </c>
      <c r="D88" s="15" t="s">
        <v>132</v>
      </c>
      <c r="E88" s="223">
        <f>'Food requirements'!I94</f>
        <v>0.30203162742812051</v>
      </c>
      <c r="F88" s="631" t="s">
        <v>68</v>
      </c>
      <c r="G88" s="221">
        <f>E88/Apricots</f>
        <v>2.6309375211508756E-5</v>
      </c>
      <c r="H88" s="631" t="s">
        <v>68</v>
      </c>
      <c r="I88" s="631" t="s">
        <v>68</v>
      </c>
      <c r="J88" s="671"/>
    </row>
    <row r="89" spans="1:10" x14ac:dyDescent="0.15">
      <c r="A89" s="15" t="s">
        <v>129</v>
      </c>
      <c r="B89" s="15" t="s">
        <v>132</v>
      </c>
      <c r="C89" s="33" t="s">
        <v>431</v>
      </c>
      <c r="D89" s="15" t="s">
        <v>132</v>
      </c>
      <c r="E89" s="223">
        <f>'Food requirements'!I95</f>
        <v>0.36169610305536948</v>
      </c>
      <c r="F89" s="631" t="s">
        <v>68</v>
      </c>
      <c r="G89" s="221">
        <f>E89/Apricots</f>
        <v>3.1506629186007792E-5</v>
      </c>
      <c r="H89" s="631" t="s">
        <v>68</v>
      </c>
      <c r="I89" s="631" t="s">
        <v>68</v>
      </c>
      <c r="J89" s="671"/>
    </row>
    <row r="90" spans="1:10" x14ac:dyDescent="0.15">
      <c r="A90" s="15" t="s">
        <v>129</v>
      </c>
      <c r="B90" s="15" t="s">
        <v>132</v>
      </c>
      <c r="C90" s="33" t="s">
        <v>432</v>
      </c>
      <c r="D90" s="15" t="s">
        <v>132</v>
      </c>
      <c r="E90" s="223">
        <f>'Food requirements'!I96</f>
        <v>1.7468767159591272</v>
      </c>
      <c r="F90" s="631" t="s">
        <v>68</v>
      </c>
      <c r="G90" s="221">
        <f>E90/Apricots</f>
        <v>1.5216696132048146E-4</v>
      </c>
      <c r="H90" s="631" t="s">
        <v>68</v>
      </c>
      <c r="I90" s="631" t="s">
        <v>68</v>
      </c>
      <c r="J90" s="671"/>
    </row>
    <row r="91" spans="1:10" x14ac:dyDescent="0.15">
      <c r="A91" s="15" t="s">
        <v>129</v>
      </c>
      <c r="B91" s="15" t="s">
        <v>132</v>
      </c>
      <c r="C91" s="33" t="s">
        <v>517</v>
      </c>
      <c r="D91" s="15" t="s">
        <v>132</v>
      </c>
      <c r="E91" s="223">
        <f>'Food requirements'!I97</f>
        <v>3.3777860983534649</v>
      </c>
      <c r="F91" s="631" t="s">
        <v>68</v>
      </c>
      <c r="G91" s="221">
        <f>E91/Apricots</f>
        <v>2.9423223853253179E-4</v>
      </c>
      <c r="H91" s="631" t="s">
        <v>68</v>
      </c>
      <c r="I91" s="631" t="s">
        <v>68</v>
      </c>
      <c r="J91" s="671"/>
    </row>
    <row r="92" spans="1:10" x14ac:dyDescent="0.15">
      <c r="A92" s="15" t="s">
        <v>129</v>
      </c>
      <c r="B92" s="15" t="s">
        <v>133</v>
      </c>
      <c r="C92" s="33" t="s">
        <v>429</v>
      </c>
      <c r="D92" s="15" t="s">
        <v>133</v>
      </c>
      <c r="E92" s="223">
        <f>'Food requirements'!I98</f>
        <v>8.7249928371587284</v>
      </c>
      <c r="F92" s="631" t="s">
        <v>68</v>
      </c>
      <c r="G92" s="221">
        <f>E92/Avocado</f>
        <v>1.4579453311256694E-3</v>
      </c>
      <c r="H92" s="631" t="s">
        <v>68</v>
      </c>
      <c r="I92" s="631" t="s">
        <v>68</v>
      </c>
      <c r="J92" s="671"/>
    </row>
    <row r="93" spans="1:10" x14ac:dyDescent="0.15">
      <c r="A93" s="15" t="s">
        <v>129</v>
      </c>
      <c r="B93" s="15" t="s">
        <v>134</v>
      </c>
      <c r="C93" s="33" t="s">
        <v>429</v>
      </c>
      <c r="D93" s="15" t="s">
        <v>134</v>
      </c>
      <c r="E93" s="223">
        <f>'Food requirements'!I99</f>
        <v>0</v>
      </c>
      <c r="F93" s="631" t="s">
        <v>68</v>
      </c>
      <c r="G93" s="221">
        <f>E93/Banana</f>
        <v>0</v>
      </c>
      <c r="H93" s="631" t="s">
        <v>68</v>
      </c>
      <c r="I93" s="631" t="s">
        <v>68</v>
      </c>
      <c r="J93" s="671"/>
    </row>
    <row r="94" spans="1:10" x14ac:dyDescent="0.15">
      <c r="A94" s="15" t="s">
        <v>129</v>
      </c>
      <c r="B94" s="15" t="s">
        <v>135</v>
      </c>
      <c r="C94" s="33" t="s">
        <v>432</v>
      </c>
      <c r="D94" s="15" t="s">
        <v>135</v>
      </c>
      <c r="E94" s="223">
        <f>'Food requirements'!I100</f>
        <v>0.224649135387606</v>
      </c>
      <c r="F94" s="631" t="s">
        <v>68</v>
      </c>
      <c r="G94" s="221">
        <f>E94/Blackberries</f>
        <v>3.1581415471547236E-5</v>
      </c>
      <c r="H94" s="631" t="s">
        <v>68</v>
      </c>
      <c r="I94" s="631" t="s">
        <v>68</v>
      </c>
      <c r="J94" s="671"/>
    </row>
    <row r="95" spans="1:10" x14ac:dyDescent="0.15">
      <c r="A95" s="15" t="s">
        <v>129</v>
      </c>
      <c r="B95" s="15" t="s">
        <v>136</v>
      </c>
      <c r="C95" s="33" t="s">
        <v>429</v>
      </c>
      <c r="D95" s="15" t="s">
        <v>136</v>
      </c>
      <c r="E95" s="223">
        <f>'Food requirements'!I101</f>
        <v>1.6563174812778896</v>
      </c>
      <c r="F95" s="631" t="s">
        <v>68</v>
      </c>
      <c r="G95" s="221">
        <f>E95/Blueberries</f>
        <v>3.174373367014695E-4</v>
      </c>
      <c r="H95" s="631" t="s">
        <v>68</v>
      </c>
      <c r="I95" s="631" t="s">
        <v>68</v>
      </c>
      <c r="J95" s="671"/>
    </row>
    <row r="96" spans="1:10" x14ac:dyDescent="0.15">
      <c r="A96" s="15" t="s">
        <v>129</v>
      </c>
      <c r="B96" s="15" t="s">
        <v>136</v>
      </c>
      <c r="C96" s="33" t="s">
        <v>432</v>
      </c>
      <c r="D96" s="15" t="s">
        <v>136</v>
      </c>
      <c r="E96" s="223">
        <f>'Food requirements'!I102</f>
        <v>4.574959340660862</v>
      </c>
      <c r="F96" s="631" t="s">
        <v>68</v>
      </c>
      <c r="G96" s="221">
        <f>E96/Blueberries</f>
        <v>8.7680225864454348E-4</v>
      </c>
      <c r="H96" s="631" t="s">
        <v>68</v>
      </c>
      <c r="I96" s="631" t="s">
        <v>68</v>
      </c>
      <c r="J96" s="671"/>
    </row>
    <row r="97" spans="1:10" x14ac:dyDescent="0.15">
      <c r="A97" s="15" t="s">
        <v>129</v>
      </c>
      <c r="B97" s="15" t="s">
        <v>137</v>
      </c>
      <c r="C97" s="33" t="s">
        <v>429</v>
      </c>
      <c r="D97" s="15" t="s">
        <v>137</v>
      </c>
      <c r="E97" s="223">
        <f>'Food requirements'!I103</f>
        <v>20.38840987193738</v>
      </c>
      <c r="F97" s="631" t="s">
        <v>68</v>
      </c>
      <c r="G97" s="221">
        <f>E97/Melons_Cantaloup</f>
        <v>8.1140560271820256E-4</v>
      </c>
      <c r="H97" s="631" t="s">
        <v>68</v>
      </c>
      <c r="I97" s="631" t="s">
        <v>68</v>
      </c>
      <c r="J97" s="671"/>
    </row>
    <row r="98" spans="1:10" x14ac:dyDescent="0.15">
      <c r="A98" s="15" t="s">
        <v>129</v>
      </c>
      <c r="B98" s="15" t="s">
        <v>138</v>
      </c>
      <c r="C98" s="33" t="s">
        <v>429</v>
      </c>
      <c r="D98" s="15" t="s">
        <v>138</v>
      </c>
      <c r="E98" s="223">
        <f>'Food requirements'!I104</f>
        <v>2.4589465533047572</v>
      </c>
      <c r="F98" s="631" t="s">
        <v>68</v>
      </c>
      <c r="G98" s="221">
        <f>E98/Cherries_Sweet</f>
        <v>3.479641349016166E-4</v>
      </c>
      <c r="H98" s="631" t="s">
        <v>68</v>
      </c>
      <c r="I98" s="631" t="s">
        <v>68</v>
      </c>
      <c r="J98" s="671"/>
    </row>
    <row r="99" spans="1:10" x14ac:dyDescent="0.15">
      <c r="A99" s="15" t="s">
        <v>129</v>
      </c>
      <c r="B99" s="15" t="s">
        <v>138</v>
      </c>
      <c r="C99" s="33" t="s">
        <v>431</v>
      </c>
      <c r="D99" s="15" t="s">
        <v>138</v>
      </c>
      <c r="E99" s="223">
        <f>'Food requirements'!I105</f>
        <v>0.4090766178707726</v>
      </c>
      <c r="F99" s="631" t="s">
        <v>68</v>
      </c>
      <c r="G99" s="221">
        <f>E99/Cherries_Tart</f>
        <v>6.4208049543720844E-5</v>
      </c>
      <c r="H99" s="631" t="s">
        <v>68</v>
      </c>
      <c r="I99" s="631" t="s">
        <v>68</v>
      </c>
      <c r="J99" s="671"/>
    </row>
    <row r="100" spans="1:10" x14ac:dyDescent="0.15">
      <c r="A100" s="15" t="s">
        <v>129</v>
      </c>
      <c r="B100" s="15" t="s">
        <v>138</v>
      </c>
      <c r="C100" s="33" t="s">
        <v>432</v>
      </c>
      <c r="D100" s="15" t="s">
        <v>138</v>
      </c>
      <c r="E100" s="223">
        <f>'Food requirements'!I106</f>
        <v>1.9168171730800796</v>
      </c>
      <c r="F100" s="631" t="s">
        <v>68</v>
      </c>
      <c r="G100" s="221">
        <f>E100/Cherries_Tart</f>
        <v>3.0086073522359112E-4</v>
      </c>
      <c r="H100" s="631" t="s">
        <v>68</v>
      </c>
      <c r="I100" s="631" t="s">
        <v>68</v>
      </c>
      <c r="J100" s="671"/>
    </row>
    <row r="101" spans="1:10" x14ac:dyDescent="0.15">
      <c r="A101" s="15" t="s">
        <v>129</v>
      </c>
      <c r="B101" s="15" t="s">
        <v>139</v>
      </c>
      <c r="C101" s="33" t="s">
        <v>429</v>
      </c>
      <c r="D101" s="15" t="s">
        <v>139</v>
      </c>
      <c r="E101" s="223">
        <f>'Food requirements'!I107</f>
        <v>0.25195826315991032</v>
      </c>
      <c r="F101" s="631" t="s">
        <v>68</v>
      </c>
      <c r="G101" s="221">
        <f>E101/Cranberries</f>
        <v>1.4765102021351689E-5</v>
      </c>
      <c r="H101" s="631" t="s">
        <v>68</v>
      </c>
      <c r="I101" s="631" t="s">
        <v>68</v>
      </c>
      <c r="J101" s="671"/>
    </row>
    <row r="102" spans="1:10" x14ac:dyDescent="0.15">
      <c r="A102" s="15" t="s">
        <v>129</v>
      </c>
      <c r="B102" s="15" t="s">
        <v>139</v>
      </c>
      <c r="C102" s="33" t="s">
        <v>554</v>
      </c>
      <c r="D102" s="15" t="s">
        <v>139</v>
      </c>
      <c r="E102" s="223">
        <f>'Food requirements'!I108</f>
        <v>5.859220223761942</v>
      </c>
      <c r="F102" s="631" t="s">
        <v>68</v>
      </c>
      <c r="G102" s="221">
        <f>E102/Cranberries</f>
        <v>3.4335839311015406E-4</v>
      </c>
      <c r="H102" s="631" t="s">
        <v>68</v>
      </c>
      <c r="I102" s="631" t="s">
        <v>68</v>
      </c>
      <c r="J102" s="671"/>
    </row>
    <row r="103" spans="1:10" x14ac:dyDescent="0.15">
      <c r="A103" s="15" t="s">
        <v>129</v>
      </c>
      <c r="B103" s="15" t="s">
        <v>140</v>
      </c>
      <c r="C103" s="33" t="s">
        <v>517</v>
      </c>
      <c r="D103" s="15" t="s">
        <v>140</v>
      </c>
      <c r="E103" s="223">
        <f>'Food requirements'!I109</f>
        <v>0.86002930733777483</v>
      </c>
      <c r="F103" s="631" t="s">
        <v>68</v>
      </c>
      <c r="G103" s="221">
        <f>E103/Dates</f>
        <v>1.2154936818530111E-4</v>
      </c>
      <c r="H103" s="631" t="s">
        <v>68</v>
      </c>
      <c r="I103" s="631" t="s">
        <v>68</v>
      </c>
      <c r="J103" s="671"/>
    </row>
    <row r="104" spans="1:10" x14ac:dyDescent="0.15">
      <c r="A104" s="15" t="s">
        <v>129</v>
      </c>
      <c r="B104" s="15" t="s">
        <v>141</v>
      </c>
      <c r="C104" s="33" t="s">
        <v>517</v>
      </c>
      <c r="D104" s="15" t="s">
        <v>141</v>
      </c>
      <c r="E104" s="223">
        <f>'Food requirements'!I110</f>
        <v>1.2055926355631781</v>
      </c>
      <c r="F104" s="631" t="s">
        <v>68</v>
      </c>
      <c r="G104" s="221">
        <f>E104/Figs</f>
        <v>1.3942860087469289E-4</v>
      </c>
      <c r="H104" s="631" t="s">
        <v>68</v>
      </c>
      <c r="I104" s="631" t="s">
        <v>68</v>
      </c>
      <c r="J104" s="671"/>
    </row>
    <row r="105" spans="1:10" x14ac:dyDescent="0.15">
      <c r="A105" s="15" t="s">
        <v>129</v>
      </c>
      <c r="B105" s="15" t="s">
        <v>142</v>
      </c>
      <c r="C105" s="33" t="s">
        <v>429</v>
      </c>
      <c r="D105" s="15" t="s">
        <v>142</v>
      </c>
      <c r="E105" s="223">
        <f>'Food requirements'!I111</f>
        <v>12.26466012601859</v>
      </c>
      <c r="F105" s="631" t="s">
        <v>68</v>
      </c>
      <c r="G105" s="221">
        <f>E105/Grapes</f>
        <v>8.192217688449407E-4</v>
      </c>
      <c r="H105" s="631" t="s">
        <v>68</v>
      </c>
      <c r="I105" s="631" t="s">
        <v>68</v>
      </c>
      <c r="J105" s="671"/>
    </row>
    <row r="106" spans="1:10" x14ac:dyDescent="0.15">
      <c r="A106" s="15" t="s">
        <v>129</v>
      </c>
      <c r="B106" s="15" t="s">
        <v>142</v>
      </c>
      <c r="C106" s="33" t="s">
        <v>554</v>
      </c>
      <c r="D106" s="15" t="s">
        <v>142</v>
      </c>
      <c r="E106" s="223">
        <f>'Food requirements'!I112</f>
        <v>13.668993061160144</v>
      </c>
      <c r="F106" s="631" t="s">
        <v>68</v>
      </c>
      <c r="G106" s="221">
        <f>E106/Grapes</f>
        <v>9.1302462186760647E-4</v>
      </c>
      <c r="H106" s="631" t="s">
        <v>68</v>
      </c>
      <c r="I106" s="631" t="s">
        <v>68</v>
      </c>
      <c r="J106" s="671"/>
    </row>
    <row r="107" spans="1:10" x14ac:dyDescent="0.15">
      <c r="A107" s="15" t="s">
        <v>129</v>
      </c>
      <c r="B107" s="15" t="s">
        <v>143</v>
      </c>
      <c r="C107" s="33" t="s">
        <v>429</v>
      </c>
      <c r="D107" s="15" t="s">
        <v>143</v>
      </c>
      <c r="E107" s="223">
        <f>'Food requirements'!I113</f>
        <v>3.3306486718503252</v>
      </c>
      <c r="F107" s="631" t="s">
        <v>68</v>
      </c>
      <c r="G107" s="221">
        <f>E107/Melons_Honeydew</f>
        <v>1.5101869493138327E-4</v>
      </c>
      <c r="H107" s="631" t="s">
        <v>68</v>
      </c>
      <c r="I107" s="631" t="s">
        <v>68</v>
      </c>
      <c r="J107" s="671"/>
    </row>
    <row r="108" spans="1:10" x14ac:dyDescent="0.15">
      <c r="A108" s="15" t="s">
        <v>129</v>
      </c>
      <c r="B108" s="15" t="s">
        <v>144</v>
      </c>
      <c r="C108" s="33" t="s">
        <v>429</v>
      </c>
      <c r="D108" s="15" t="s">
        <v>144</v>
      </c>
      <c r="E108" s="223">
        <f>'Food requirements'!I114</f>
        <v>1.1492786613435226</v>
      </c>
      <c r="F108" s="631" t="s">
        <v>68</v>
      </c>
      <c r="G108" s="221">
        <f>E108/Kiwifruit</f>
        <v>9.0653005715089427E-5</v>
      </c>
      <c r="H108" s="631" t="s">
        <v>68</v>
      </c>
      <c r="I108" s="631" t="s">
        <v>68</v>
      </c>
      <c r="J108" s="671"/>
    </row>
    <row r="109" spans="1:10" x14ac:dyDescent="0.15">
      <c r="A109" s="15" t="s">
        <v>129</v>
      </c>
      <c r="B109" s="15" t="s">
        <v>145</v>
      </c>
      <c r="C109" s="33" t="s">
        <v>429</v>
      </c>
      <c r="D109" s="15" t="s">
        <v>145</v>
      </c>
      <c r="E109" s="223">
        <f>'Food requirements'!I115</f>
        <v>0</v>
      </c>
      <c r="F109" s="631" t="s">
        <v>68</v>
      </c>
      <c r="G109" s="631" t="s">
        <v>68</v>
      </c>
      <c r="H109" s="631" t="s">
        <v>68</v>
      </c>
      <c r="I109" s="631" t="s">
        <v>68</v>
      </c>
      <c r="J109" s="604" t="s">
        <v>1206</v>
      </c>
    </row>
    <row r="110" spans="1:10" x14ac:dyDescent="0.15">
      <c r="A110" s="15" t="s">
        <v>129</v>
      </c>
      <c r="B110" s="15" t="s">
        <v>146</v>
      </c>
      <c r="C110" s="33" t="s">
        <v>431</v>
      </c>
      <c r="D110" s="15" t="s">
        <v>146</v>
      </c>
      <c r="E110" s="223">
        <f>'Food requirements'!I116</f>
        <v>2.6357333847745235</v>
      </c>
      <c r="F110" s="631" t="s">
        <v>68</v>
      </c>
      <c r="G110" s="327">
        <f>E110/Olives</f>
        <v>4.1254957326905583E-4</v>
      </c>
      <c r="H110" s="631" t="s">
        <v>68</v>
      </c>
      <c r="I110" s="631" t="s">
        <v>68</v>
      </c>
      <c r="J110" s="671"/>
    </row>
    <row r="111" spans="1:10" x14ac:dyDescent="0.15">
      <c r="A111" s="15" t="s">
        <v>129</v>
      </c>
      <c r="B111" s="15" t="s">
        <v>147</v>
      </c>
      <c r="C111" s="33" t="s">
        <v>429</v>
      </c>
      <c r="D111" s="15" t="s">
        <v>147</v>
      </c>
      <c r="E111" s="223">
        <f>'Food requirements'!I117</f>
        <v>11.673546149154955</v>
      </c>
      <c r="F111" s="631" t="s">
        <v>68</v>
      </c>
      <c r="G111" s="327">
        <f>E111/Peaches</f>
        <v>6.5418378170855891E-4</v>
      </c>
      <c r="H111" s="631" t="s">
        <v>68</v>
      </c>
      <c r="I111" s="631" t="s">
        <v>68</v>
      </c>
      <c r="J111" s="671"/>
    </row>
    <row r="112" spans="1:10" x14ac:dyDescent="0.15">
      <c r="A112" s="15" t="s">
        <v>129</v>
      </c>
      <c r="B112" s="15" t="s">
        <v>147</v>
      </c>
      <c r="C112" s="33" t="s">
        <v>431</v>
      </c>
      <c r="D112" s="15" t="s">
        <v>147</v>
      </c>
      <c r="E112" s="223">
        <f>'Food requirements'!I118</f>
        <v>8.0806972948716158</v>
      </c>
      <c r="F112" s="631" t="s">
        <v>68</v>
      </c>
      <c r="G112" s="327">
        <f>E112/Peaches</f>
        <v>4.5284106882842169E-4</v>
      </c>
      <c r="H112" s="631" t="s">
        <v>68</v>
      </c>
      <c r="I112" s="631" t="s">
        <v>68</v>
      </c>
      <c r="J112" s="671"/>
    </row>
    <row r="113" spans="1:10" x14ac:dyDescent="0.15">
      <c r="A113" s="15" t="s">
        <v>129</v>
      </c>
      <c r="B113" s="15" t="s">
        <v>147</v>
      </c>
      <c r="C113" s="33" t="s">
        <v>432</v>
      </c>
      <c r="D113" s="15" t="s">
        <v>147</v>
      </c>
      <c r="E113" s="223">
        <f>'Food requirements'!I119</f>
        <v>1.702654096110668</v>
      </c>
      <c r="F113" s="631" t="s">
        <v>68</v>
      </c>
      <c r="G113" s="327">
        <f>E113/Peaches</f>
        <v>9.5416481102092202E-5</v>
      </c>
      <c r="H113" s="631" t="s">
        <v>68</v>
      </c>
      <c r="I113" s="631" t="s">
        <v>68</v>
      </c>
      <c r="J113" s="671"/>
    </row>
    <row r="114" spans="1:10" x14ac:dyDescent="0.15">
      <c r="A114" s="15" t="s">
        <v>129</v>
      </c>
      <c r="B114" s="15" t="s">
        <v>147</v>
      </c>
      <c r="C114" s="33" t="s">
        <v>517</v>
      </c>
      <c r="D114" s="15" t="s">
        <v>147</v>
      </c>
      <c r="E114" s="223">
        <f>'Food requirements'!I120</f>
        <v>1.198110150262558</v>
      </c>
      <c r="F114" s="631" t="s">
        <v>68</v>
      </c>
      <c r="G114" s="327">
        <f>E114/Peaches</f>
        <v>6.7141913775610327E-5</v>
      </c>
      <c r="H114" s="631" t="s">
        <v>68</v>
      </c>
      <c r="I114" s="631" t="s">
        <v>68</v>
      </c>
      <c r="J114" s="671"/>
    </row>
    <row r="115" spans="1:10" x14ac:dyDescent="0.15">
      <c r="A115" s="15" t="s">
        <v>129</v>
      </c>
      <c r="B115" s="15" t="s">
        <v>148</v>
      </c>
      <c r="C115" s="33" t="s">
        <v>429</v>
      </c>
      <c r="D115" s="15" t="s">
        <v>148</v>
      </c>
      <c r="E115" s="223">
        <f>'Food requirements'!I121</f>
        <v>6.1402214579103394</v>
      </c>
      <c r="F115" s="631" t="s">
        <v>68</v>
      </c>
      <c r="G115" s="327">
        <f>E115/Pears</f>
        <v>2.1108477128034019E-4</v>
      </c>
      <c r="H115" s="631" t="s">
        <v>68</v>
      </c>
      <c r="I115" s="631" t="s">
        <v>68</v>
      </c>
      <c r="J115" s="671"/>
    </row>
    <row r="116" spans="1:10" x14ac:dyDescent="0.15">
      <c r="A116" s="15" t="s">
        <v>129</v>
      </c>
      <c r="B116" s="15" t="s">
        <v>148</v>
      </c>
      <c r="C116" s="33" t="s">
        <v>431</v>
      </c>
      <c r="D116" s="15" t="s">
        <v>148</v>
      </c>
      <c r="E116" s="223">
        <f>'Food requirements'!I122</f>
        <v>5.9553783190339296</v>
      </c>
      <c r="F116" s="631" t="s">
        <v>68</v>
      </c>
      <c r="G116" s="327">
        <f>E116/Pears</f>
        <v>2.0473034710200675E-4</v>
      </c>
      <c r="H116" s="631" t="s">
        <v>68</v>
      </c>
      <c r="I116" s="631" t="s">
        <v>68</v>
      </c>
      <c r="J116" s="671"/>
    </row>
    <row r="117" spans="1:10" x14ac:dyDescent="0.15">
      <c r="A117" s="15" t="s">
        <v>129</v>
      </c>
      <c r="B117" s="15" t="s">
        <v>148</v>
      </c>
      <c r="C117" s="33" t="s">
        <v>517</v>
      </c>
      <c r="D117" s="15" t="s">
        <v>148</v>
      </c>
      <c r="E117" s="223">
        <f>'Food requirements'!I123</f>
        <v>8.742934038525868E-2</v>
      </c>
      <c r="F117" s="631" t="s">
        <v>68</v>
      </c>
      <c r="G117" s="327">
        <f>E117/Pears</f>
        <v>3.0055922974305888E-6</v>
      </c>
      <c r="H117" s="631" t="s">
        <v>68</v>
      </c>
      <c r="I117" s="631" t="s">
        <v>68</v>
      </c>
      <c r="J117" s="671"/>
    </row>
    <row r="118" spans="1:10" x14ac:dyDescent="0.15">
      <c r="A118" s="15" t="s">
        <v>129</v>
      </c>
      <c r="B118" s="15" t="s">
        <v>149</v>
      </c>
      <c r="C118" s="33" t="s">
        <v>429</v>
      </c>
      <c r="D118" s="15" t="s">
        <v>149</v>
      </c>
      <c r="E118" s="223">
        <f>'Food requirements'!I124</f>
        <v>0</v>
      </c>
      <c r="F118" s="631" t="s">
        <v>68</v>
      </c>
      <c r="G118" s="631" t="s">
        <v>68</v>
      </c>
      <c r="H118" s="631" t="s">
        <v>68</v>
      </c>
      <c r="I118" s="631" t="s">
        <v>68</v>
      </c>
      <c r="J118" s="604" t="s">
        <v>1206</v>
      </c>
    </row>
    <row r="119" spans="1:10" x14ac:dyDescent="0.15">
      <c r="A119" s="15" t="s">
        <v>129</v>
      </c>
      <c r="B119" s="15" t="s">
        <v>149</v>
      </c>
      <c r="C119" s="33" t="s">
        <v>431</v>
      </c>
      <c r="D119" s="15" t="s">
        <v>149</v>
      </c>
      <c r="E119" s="223">
        <f>'Food requirements'!I125</f>
        <v>0</v>
      </c>
      <c r="F119" s="631" t="s">
        <v>68</v>
      </c>
      <c r="G119" s="631" t="s">
        <v>68</v>
      </c>
      <c r="H119" s="631" t="s">
        <v>68</v>
      </c>
      <c r="I119" s="631" t="s">
        <v>68</v>
      </c>
      <c r="J119" s="604" t="s">
        <v>1206</v>
      </c>
    </row>
    <row r="120" spans="1:10" x14ac:dyDescent="0.15">
      <c r="A120" s="15" t="s">
        <v>129</v>
      </c>
      <c r="B120" s="15" t="s">
        <v>149</v>
      </c>
      <c r="C120" s="33" t="s">
        <v>554</v>
      </c>
      <c r="D120" s="15" t="s">
        <v>149</v>
      </c>
      <c r="E120" s="223">
        <f>'Food requirements'!I126</f>
        <v>0</v>
      </c>
      <c r="F120" s="631" t="s">
        <v>68</v>
      </c>
      <c r="G120" s="631" t="s">
        <v>68</v>
      </c>
      <c r="H120" s="631" t="s">
        <v>68</v>
      </c>
      <c r="I120" s="631" t="s">
        <v>68</v>
      </c>
      <c r="J120" s="604" t="s">
        <v>1206</v>
      </c>
    </row>
    <row r="121" spans="1:10" x14ac:dyDescent="0.15">
      <c r="A121" s="15" t="s">
        <v>129</v>
      </c>
      <c r="B121" s="15" t="s">
        <v>150</v>
      </c>
      <c r="C121" s="33" t="s">
        <v>429</v>
      </c>
      <c r="D121" s="15" t="s">
        <v>150</v>
      </c>
      <c r="E121" s="223">
        <f>'Food requirements'!I127</f>
        <v>2.2272286626111284</v>
      </c>
      <c r="F121" s="631" t="s">
        <v>68</v>
      </c>
      <c r="G121" s="221">
        <f>E121/Papayas</f>
        <v>9.1279863221767549E-5</v>
      </c>
      <c r="H121" s="631" t="s">
        <v>68</v>
      </c>
      <c r="I121" s="631" t="s">
        <v>68</v>
      </c>
      <c r="J121" s="671"/>
    </row>
    <row r="122" spans="1:10" x14ac:dyDescent="0.15">
      <c r="A122" s="15" t="s">
        <v>129</v>
      </c>
      <c r="B122" s="15" t="s">
        <v>151</v>
      </c>
      <c r="C122" s="33" t="s">
        <v>429</v>
      </c>
      <c r="D122" s="15" t="s">
        <v>151</v>
      </c>
      <c r="E122" s="223">
        <f>'Food requirements'!I128</f>
        <v>2.4936644780652499</v>
      </c>
      <c r="F122" s="631" t="s">
        <v>68</v>
      </c>
      <c r="G122" s="221">
        <f>E122/Plums</f>
        <v>2.3967300622156399E-4</v>
      </c>
      <c r="H122" s="631" t="s">
        <v>68</v>
      </c>
      <c r="I122" s="631" t="s">
        <v>68</v>
      </c>
      <c r="J122" s="671"/>
    </row>
    <row r="123" spans="1:10" x14ac:dyDescent="0.15">
      <c r="A123" s="15" t="s">
        <v>129</v>
      </c>
      <c r="B123" s="15" t="s">
        <v>151</v>
      </c>
      <c r="C123" s="33" t="s">
        <v>431</v>
      </c>
      <c r="D123" s="15" t="s">
        <v>151</v>
      </c>
      <c r="E123" s="223">
        <f>'Food requirements'!I129</f>
        <v>5.5364612281950991E-2</v>
      </c>
      <c r="F123" s="631" t="s">
        <v>68</v>
      </c>
      <c r="G123" s="221">
        <f>E123/Plums</f>
        <v>5.3212463748137436E-6</v>
      </c>
      <c r="H123" s="631" t="s">
        <v>68</v>
      </c>
      <c r="I123" s="631" t="s">
        <v>68</v>
      </c>
      <c r="J123" s="671"/>
    </row>
    <row r="124" spans="1:10" x14ac:dyDescent="0.15">
      <c r="A124" s="15" t="s">
        <v>129</v>
      </c>
      <c r="B124" s="15" t="s">
        <v>152</v>
      </c>
      <c r="C124" s="33" t="s">
        <v>432</v>
      </c>
      <c r="D124" s="15" t="s">
        <v>151</v>
      </c>
      <c r="E124" s="223">
        <f>'Food requirements'!I130</f>
        <v>1.9796163636454298E-2</v>
      </c>
      <c r="F124" s="631" t="s">
        <v>68</v>
      </c>
      <c r="G124" s="221">
        <f>E124/Prunes_and_plums</f>
        <v>2.1144727359137035E-6</v>
      </c>
      <c r="H124" s="631" t="s">
        <v>68</v>
      </c>
      <c r="I124" s="631" t="s">
        <v>68</v>
      </c>
      <c r="J124" s="671"/>
    </row>
    <row r="125" spans="1:10" x14ac:dyDescent="0.15">
      <c r="A125" s="15" t="s">
        <v>129</v>
      </c>
      <c r="B125" s="15" t="s">
        <v>151</v>
      </c>
      <c r="C125" s="33" t="s">
        <v>517</v>
      </c>
      <c r="D125" s="15" t="s">
        <v>151</v>
      </c>
      <c r="E125" s="223">
        <f>'Food requirements'!I131</f>
        <v>4.043983621520252</v>
      </c>
      <c r="F125" s="631" t="s">
        <v>68</v>
      </c>
      <c r="G125" s="221">
        <f>E125/Plums</f>
        <v>3.886784770790503E-4</v>
      </c>
      <c r="H125" s="631" t="s">
        <v>68</v>
      </c>
      <c r="I125" s="631" t="s">
        <v>68</v>
      </c>
      <c r="J125" s="671"/>
    </row>
    <row r="126" spans="1:10" x14ac:dyDescent="0.15">
      <c r="A126" s="15" t="s">
        <v>129</v>
      </c>
      <c r="B126" s="15" t="s">
        <v>153</v>
      </c>
      <c r="C126" s="33" t="s">
        <v>554</v>
      </c>
      <c r="D126" s="14" t="s">
        <v>152</v>
      </c>
      <c r="E126" s="223">
        <f>'Food requirements'!I132</f>
        <v>1.2697930056347677</v>
      </c>
      <c r="F126" s="631" t="s">
        <v>68</v>
      </c>
      <c r="G126" s="221">
        <f>E126/Prunes_and_plums</f>
        <v>1.3562944517817361E-4</v>
      </c>
      <c r="H126" s="631" t="s">
        <v>68</v>
      </c>
      <c r="I126" s="631" t="s">
        <v>68</v>
      </c>
      <c r="J126" s="671"/>
    </row>
    <row r="127" spans="1:10" x14ac:dyDescent="0.15">
      <c r="A127" s="15" t="s">
        <v>129</v>
      </c>
      <c r="B127" s="15" t="s">
        <v>154</v>
      </c>
      <c r="C127" s="33" t="s">
        <v>517</v>
      </c>
      <c r="D127" s="14" t="s">
        <v>142</v>
      </c>
      <c r="E127" s="223">
        <f>'Food requirements'!I133</f>
        <v>41.974395916215734</v>
      </c>
      <c r="F127" s="631" t="s">
        <v>68</v>
      </c>
      <c r="G127" s="221">
        <f>E127/Raisins</f>
        <v>2.1915623461096117E-3</v>
      </c>
      <c r="H127" s="631" t="s">
        <v>68</v>
      </c>
      <c r="I127" s="631" t="s">
        <v>68</v>
      </c>
      <c r="J127" s="671"/>
    </row>
    <row r="128" spans="1:10" x14ac:dyDescent="0.15">
      <c r="A128" s="15" t="s">
        <v>129</v>
      </c>
      <c r="B128" s="15" t="s">
        <v>155</v>
      </c>
      <c r="C128" s="33" t="s">
        <v>429</v>
      </c>
      <c r="D128" s="15" t="s">
        <v>155</v>
      </c>
      <c r="E128" s="223">
        <f>'Food requirements'!I134</f>
        <v>0.7535617952940199</v>
      </c>
      <c r="F128" s="631" t="s">
        <v>68</v>
      </c>
      <c r="G128" s="221">
        <f>E128/Raspberries</f>
        <v>1.2299702861164632E-4</v>
      </c>
      <c r="H128" s="631" t="s">
        <v>68</v>
      </c>
      <c r="I128" s="631" t="s">
        <v>68</v>
      </c>
      <c r="J128" s="671"/>
    </row>
    <row r="129" spans="1:10" x14ac:dyDescent="0.15">
      <c r="A129" s="15" t="s">
        <v>129</v>
      </c>
      <c r="B129" s="15" t="s">
        <v>155</v>
      </c>
      <c r="C129" s="33" t="s">
        <v>432</v>
      </c>
      <c r="D129" s="15" t="s">
        <v>155</v>
      </c>
      <c r="E129" s="223">
        <f>'Food requirements'!I135</f>
        <v>0.79782851679596234</v>
      </c>
      <c r="F129" s="631" t="s">
        <v>68</v>
      </c>
      <c r="G129" s="221">
        <f>E129/Raspberries</f>
        <v>1.3022228239324739E-4</v>
      </c>
      <c r="H129" s="631" t="s">
        <v>68</v>
      </c>
      <c r="I129" s="631" t="s">
        <v>68</v>
      </c>
      <c r="J129" s="671"/>
    </row>
    <row r="130" spans="1:10" x14ac:dyDescent="0.15">
      <c r="A130" s="15" t="s">
        <v>129</v>
      </c>
      <c r="B130" s="15" t="s">
        <v>156</v>
      </c>
      <c r="C130" s="33" t="s">
        <v>429</v>
      </c>
      <c r="D130" s="15" t="s">
        <v>156</v>
      </c>
      <c r="E130" s="223">
        <f>'Food requirements'!I136</f>
        <v>15.989021861300412</v>
      </c>
      <c r="F130" s="631" t="s">
        <v>68</v>
      </c>
      <c r="G130" s="221">
        <f>E130/Strawberries</f>
        <v>3.5235356697282982E-4</v>
      </c>
      <c r="H130" s="631" t="s">
        <v>68</v>
      </c>
      <c r="I130" s="631" t="s">
        <v>68</v>
      </c>
      <c r="J130" s="671"/>
    </row>
    <row r="131" spans="1:10" x14ac:dyDescent="0.15">
      <c r="A131" s="15" t="s">
        <v>129</v>
      </c>
      <c r="B131" s="15" t="s">
        <v>156</v>
      </c>
      <c r="C131" s="33" t="s">
        <v>432</v>
      </c>
      <c r="D131" s="15" t="s">
        <v>156</v>
      </c>
      <c r="E131" s="223">
        <f>'Food requirements'!I137</f>
        <v>1.5363430681543371</v>
      </c>
      <c r="F131" s="631" t="s">
        <v>68</v>
      </c>
      <c r="G131" s="221">
        <f>E131/Strawberries</f>
        <v>3.3856727750707721E-5</v>
      </c>
      <c r="H131" s="631" t="s">
        <v>68</v>
      </c>
      <c r="I131" s="631" t="s">
        <v>68</v>
      </c>
      <c r="J131" s="671"/>
    </row>
    <row r="132" spans="1:10" x14ac:dyDescent="0.15">
      <c r="A132" s="25" t="s">
        <v>129</v>
      </c>
      <c r="B132" s="25" t="s">
        <v>157</v>
      </c>
      <c r="C132" s="34" t="s">
        <v>429</v>
      </c>
      <c r="D132" s="25" t="s">
        <v>157</v>
      </c>
      <c r="E132" s="224">
        <f>'Food requirements'!I138</f>
        <v>30.350339883511257</v>
      </c>
      <c r="F132" s="654" t="s">
        <v>68</v>
      </c>
      <c r="G132" s="320">
        <f>E132/Melons_Watermelon</f>
        <v>1.0878258022763891E-3</v>
      </c>
      <c r="H132" s="654" t="s">
        <v>68</v>
      </c>
      <c r="I132" s="654" t="s">
        <v>68</v>
      </c>
      <c r="J132" s="673"/>
    </row>
    <row r="133" spans="1:10" x14ac:dyDescent="0.15">
      <c r="A133" s="15" t="s">
        <v>7</v>
      </c>
      <c r="B133" s="46" t="s">
        <v>346</v>
      </c>
      <c r="C133" s="86" t="s">
        <v>633</v>
      </c>
      <c r="D133" s="106" t="s">
        <v>632</v>
      </c>
      <c r="E133" s="289">
        <f>SUM('Food requirements'!I$140:I$156,'Food requirements'!I$158:I$161,'Food requirements'!I$163:I$168)</f>
        <v>359.60409328413255</v>
      </c>
      <c r="F133" s="541">
        <f>E133*'Livestock feed requirements'!K13*'Livestock feed requirements'!K22*'Livestock feed requirements'!K25</f>
        <v>76.405821461084059</v>
      </c>
      <c r="G133" s="631" t="s">
        <v>68</v>
      </c>
      <c r="H133" s="327">
        <f>F133/Alfalfa_hay</f>
        <v>1.1400760120346238E-2</v>
      </c>
      <c r="I133" s="631" t="s">
        <v>68</v>
      </c>
      <c r="J133" s="671"/>
    </row>
    <row r="134" spans="1:10" x14ac:dyDescent="0.15">
      <c r="A134" s="15" t="s">
        <v>7</v>
      </c>
      <c r="B134" s="46" t="s">
        <v>346</v>
      </c>
      <c r="C134" s="51" t="s">
        <v>1215</v>
      </c>
      <c r="D134" s="284" t="s">
        <v>630</v>
      </c>
      <c r="E134" s="289">
        <f>SUM('Food requirements'!I$140:I$156,'Food requirements'!I$158:I$161,'Food requirements'!I$163:I$168)</f>
        <v>359.60409328413255</v>
      </c>
      <c r="F134" s="541">
        <f>E134*'Livestock feed requirements'!H13*'Livestock feed requirements'!H22*'Livestock feed requirements'!H25</f>
        <v>96.414412967267921</v>
      </c>
      <c r="G134" s="631" t="s">
        <v>68</v>
      </c>
      <c r="H134" s="327">
        <f>F134/Hay_haylage_exlc_alfalfa</f>
        <v>2.487471954779874E-2</v>
      </c>
      <c r="I134" s="631" t="s">
        <v>68</v>
      </c>
      <c r="J134" s="671"/>
    </row>
    <row r="135" spans="1:10" x14ac:dyDescent="0.15">
      <c r="A135" s="15" t="s">
        <v>7</v>
      </c>
      <c r="B135" s="46" t="s">
        <v>346</v>
      </c>
      <c r="C135" s="51" t="s">
        <v>342</v>
      </c>
      <c r="D135" s="284" t="s">
        <v>631</v>
      </c>
      <c r="E135" s="289">
        <f>SUM('Food requirements'!I$140:I$156,'Food requirements'!I$158:I$161,'Food requirements'!I$163:I$168)</f>
        <v>359.60409328413255</v>
      </c>
      <c r="F135" s="541">
        <f>E135*'Livestock feed requirements'!N13*'Livestock feed requirements'!N22*'Livestock feed requirements'!N25</f>
        <v>343.613189965765</v>
      </c>
      <c r="G135" s="327">
        <f>F135/Corn_Silage</f>
        <v>1.0023721994333866E-2</v>
      </c>
      <c r="H135" s="631" t="s">
        <v>68</v>
      </c>
      <c r="I135" s="631" t="s">
        <v>68</v>
      </c>
      <c r="J135" s="671"/>
    </row>
    <row r="136" spans="1:10" x14ac:dyDescent="0.15">
      <c r="A136" s="15" t="s">
        <v>7</v>
      </c>
      <c r="B136" s="46" t="s">
        <v>346</v>
      </c>
      <c r="C136" s="51" t="s">
        <v>345</v>
      </c>
      <c r="D136" s="284" t="s">
        <v>631</v>
      </c>
      <c r="E136" s="289">
        <f>SUM('Food requirements'!I$140:I$156,'Food requirements'!I$158:I$161,'Food requirements'!I$163:I$168)</f>
        <v>359.60409328413255</v>
      </c>
      <c r="F136" s="541">
        <f>E136*'Livestock feed requirements'!B13*'Livestock feed requirements'!B22*'Livestock feed requirements'!B25</f>
        <v>50.522286800879989</v>
      </c>
      <c r="G136" s="327">
        <f>F136/Corn</f>
        <v>6.0977085232574047E-3</v>
      </c>
      <c r="H136" s="631" t="s">
        <v>68</v>
      </c>
      <c r="I136" s="631" t="s">
        <v>68</v>
      </c>
      <c r="J136" s="671"/>
    </row>
    <row r="137" spans="1:10" x14ac:dyDescent="0.15">
      <c r="A137" s="98" t="s">
        <v>7</v>
      </c>
      <c r="B137" s="46" t="s">
        <v>346</v>
      </c>
      <c r="C137" s="106" t="s">
        <v>341</v>
      </c>
      <c r="D137" s="106" t="s">
        <v>634</v>
      </c>
      <c r="E137" s="289">
        <f>SUM('Food requirements'!I$140:I$156,'Food requirements'!I$158:I$161,'Food requirements'!I$163:I$168)</f>
        <v>359.60409328413255</v>
      </c>
      <c r="F137" s="541">
        <f>E137*'Livestock feed requirements'!E13*'Livestock feed requirements'!E22*'Livestock feed requirements'!E25</f>
        <v>34.259759562801413</v>
      </c>
      <c r="G137" s="327">
        <f>F137/Soybeans</f>
        <v>1.4048212748483396E-2</v>
      </c>
      <c r="H137" s="631" t="s">
        <v>68</v>
      </c>
      <c r="I137" s="631" t="s">
        <v>68</v>
      </c>
      <c r="J137" s="671"/>
    </row>
    <row r="138" spans="1:10" s="308" customFormat="1" x14ac:dyDescent="0.15">
      <c r="A138" s="47" t="s">
        <v>720</v>
      </c>
      <c r="B138" s="655" t="s">
        <v>719</v>
      </c>
      <c r="C138" s="655" t="s">
        <v>724</v>
      </c>
      <c r="D138" s="300" t="s">
        <v>592</v>
      </c>
      <c r="E138" s="656">
        <f>'Food requirements'!I169</f>
        <v>0</v>
      </c>
      <c r="F138" s="656" t="s">
        <v>68</v>
      </c>
      <c r="G138" s="657">
        <f>E138/Soybeans</f>
        <v>0</v>
      </c>
      <c r="H138" s="654" t="s">
        <v>68</v>
      </c>
      <c r="I138" s="654" t="s">
        <v>68</v>
      </c>
      <c r="J138" s="673"/>
    </row>
    <row r="139" spans="1:10" s="308" customFormat="1" x14ac:dyDescent="0.15">
      <c r="A139" s="64" t="s">
        <v>354</v>
      </c>
      <c r="B139" s="658" t="s">
        <v>722</v>
      </c>
      <c r="C139" s="658" t="s">
        <v>725</v>
      </c>
      <c r="D139" s="107" t="s">
        <v>592</v>
      </c>
      <c r="E139" s="659">
        <f>'Food requirements'!I170</f>
        <v>11.973943199925015</v>
      </c>
      <c r="F139" s="659" t="s">
        <v>68</v>
      </c>
      <c r="G139" s="660">
        <f>E139/Soybeans</f>
        <v>4.9099148288665913E-3</v>
      </c>
      <c r="H139" s="659" t="s">
        <v>68</v>
      </c>
      <c r="I139" s="659" t="s">
        <v>68</v>
      </c>
      <c r="J139" s="674"/>
    </row>
    <row r="140" spans="1:10" x14ac:dyDescent="0.15">
      <c r="A140" s="309" t="s">
        <v>354</v>
      </c>
      <c r="B140" s="309" t="s">
        <v>94</v>
      </c>
      <c r="C140" s="106" t="s">
        <v>357</v>
      </c>
      <c r="D140" s="106" t="s">
        <v>357</v>
      </c>
      <c r="E140" s="225">
        <f>'Food requirements'!I171</f>
        <v>13.853268179832252</v>
      </c>
      <c r="F140" s="631" t="s">
        <v>68</v>
      </c>
      <c r="G140" s="321">
        <f>E140/Dry_beans</f>
        <v>8.2728528761213237E-3</v>
      </c>
      <c r="H140" s="631" t="s">
        <v>68</v>
      </c>
      <c r="I140" s="631" t="s">
        <v>68</v>
      </c>
      <c r="J140" s="671"/>
    </row>
    <row r="141" spans="1:10" x14ac:dyDescent="0.15">
      <c r="A141" s="46" t="s">
        <v>354</v>
      </c>
      <c r="B141" s="46" t="s">
        <v>95</v>
      </c>
      <c r="C141" s="106" t="s">
        <v>95</v>
      </c>
      <c r="D141" s="106" t="s">
        <v>95</v>
      </c>
      <c r="E141" s="225">
        <f>'Food requirements'!I172</f>
        <v>2.1606161792500824</v>
      </c>
      <c r="F141" s="631" t="s">
        <v>68</v>
      </c>
      <c r="G141" s="222">
        <f>E141/AVERAGE(Lentils,Dry_peas)</f>
        <v>1.4178540177032606E-3</v>
      </c>
      <c r="H141" s="631" t="s">
        <v>68</v>
      </c>
      <c r="I141" s="631" t="s">
        <v>68</v>
      </c>
      <c r="J141" s="672"/>
    </row>
    <row r="142" spans="1:10" x14ac:dyDescent="0.15">
      <c r="A142" s="46" t="s">
        <v>354</v>
      </c>
      <c r="B142" s="15" t="s">
        <v>196</v>
      </c>
      <c r="C142" s="314" t="s">
        <v>1215</v>
      </c>
      <c r="D142" s="284" t="s">
        <v>635</v>
      </c>
      <c r="E142" s="289">
        <f>'Food requirements'!I$173*Percent__Dedicated__beef</f>
        <v>52.683547099733168</v>
      </c>
      <c r="F142" s="289">
        <f>E142*'Livestock feed requirements'!H12*'Livestock feed requirements'!H22*'Livestock feed requirements'!H25</f>
        <v>295.84436571239502</v>
      </c>
      <c r="G142" s="631" t="s">
        <v>68</v>
      </c>
      <c r="H142" s="275">
        <f>F142/Hay_haylage_exlc_alfalfa</f>
        <v>7.6327235735912033E-2</v>
      </c>
      <c r="I142" s="631" t="s">
        <v>68</v>
      </c>
      <c r="J142" s="671"/>
    </row>
    <row r="143" spans="1:10" x14ac:dyDescent="0.15">
      <c r="A143" s="309" t="s">
        <v>354</v>
      </c>
      <c r="B143" s="311" t="s">
        <v>196</v>
      </c>
      <c r="C143" s="284" t="s">
        <v>347</v>
      </c>
      <c r="D143" s="284" t="s">
        <v>636</v>
      </c>
      <c r="E143" s="289">
        <f>'Food requirements'!I$173*Percent__Dedicated__beef</f>
        <v>52.683547099733168</v>
      </c>
      <c r="F143" s="289">
        <f>E143*'Livestock feed requirements'!Q12</f>
        <v>400.9826319409392</v>
      </c>
      <c r="G143" s="221" t="s">
        <v>68</v>
      </c>
      <c r="H143" s="631" t="s">
        <v>68</v>
      </c>
      <c r="I143" s="297">
        <f>E143*'Livestock feed requirements'!$Q$12/grazing_land_yield</f>
        <v>0.87481324475827282</v>
      </c>
      <c r="J143" s="671"/>
    </row>
    <row r="144" spans="1:10" x14ac:dyDescent="0.15">
      <c r="A144" s="309" t="s">
        <v>354</v>
      </c>
      <c r="B144" s="311" t="s">
        <v>196</v>
      </c>
      <c r="C144" s="284" t="s">
        <v>345</v>
      </c>
      <c r="D144" s="284" t="s">
        <v>637</v>
      </c>
      <c r="E144" s="289">
        <f>'Food requirements'!I$173*Percent__Dedicated__beef</f>
        <v>52.683547099733168</v>
      </c>
      <c r="F144" s="289">
        <f>E144*'Livestock feed requirements'!B12*'Livestock feed requirements'!B22*'Livestock feed requirements'!B25</f>
        <v>119.27637429914603</v>
      </c>
      <c r="G144" s="327">
        <f>F144/Corn</f>
        <v>1.4395875765751659E-2</v>
      </c>
      <c r="H144" s="631" t="s">
        <v>68</v>
      </c>
      <c r="I144" s="631" t="s">
        <v>68</v>
      </c>
      <c r="J144" s="671"/>
    </row>
    <row r="145" spans="1:10" x14ac:dyDescent="0.15">
      <c r="A145" s="309" t="s">
        <v>354</v>
      </c>
      <c r="B145" s="311" t="s">
        <v>196</v>
      </c>
      <c r="C145" s="106" t="s">
        <v>341</v>
      </c>
      <c r="D145" s="284" t="s">
        <v>638</v>
      </c>
      <c r="E145" s="289">
        <f>'Food requirements'!I$173*Percent__Dedicated__beef</f>
        <v>52.683547099733168</v>
      </c>
      <c r="F145" s="289">
        <f>E145*'Livestock feed requirements'!E12*'Livestock feed requirements'!E22*'Livestock feed requirements'!E25</f>
        <v>8.9736900297950744</v>
      </c>
      <c r="G145" s="327">
        <f>F145/Soybeans</f>
        <v>3.6796611618484243E-3</v>
      </c>
      <c r="H145" s="631" t="s">
        <v>68</v>
      </c>
      <c r="I145" s="631" t="s">
        <v>68</v>
      </c>
      <c r="J145" s="671"/>
    </row>
    <row r="146" spans="1:10" x14ac:dyDescent="0.15">
      <c r="A146" s="309" t="s">
        <v>354</v>
      </c>
      <c r="B146" s="311" t="s">
        <v>654</v>
      </c>
      <c r="C146" s="314" t="s">
        <v>1215</v>
      </c>
      <c r="D146" s="284" t="s">
        <v>655</v>
      </c>
      <c r="E146" s="289">
        <f>'Food requirements'!I$173*Percent__dairy__beef</f>
        <v>12.569756600236454</v>
      </c>
      <c r="F146" s="289">
        <f>E146*'Livestock feed requirements'!H15*'Livestock feed requirements'!H22*'Livestock feed requirements'!H25</f>
        <v>19.62663108342883</v>
      </c>
      <c r="G146" s="631" t="s">
        <v>68</v>
      </c>
      <c r="H146" s="327">
        <f>F146/Hay_haylage_exlc_alfalfa</f>
        <v>5.0636303104821543E-3</v>
      </c>
      <c r="I146" s="631" t="s">
        <v>68</v>
      </c>
      <c r="J146" s="671"/>
    </row>
    <row r="147" spans="1:10" x14ac:dyDescent="0.15">
      <c r="A147" s="309" t="s">
        <v>354</v>
      </c>
      <c r="B147" s="311" t="s">
        <v>654</v>
      </c>
      <c r="C147" s="106" t="s">
        <v>345</v>
      </c>
      <c r="D147" s="284" t="s">
        <v>656</v>
      </c>
      <c r="E147" s="289">
        <f>'Food requirements'!I$173*Percent__dairy__beef</f>
        <v>12.569756600236454</v>
      </c>
      <c r="F147" s="289">
        <f>E147*'Livestock feed requirements'!B15*'Livestock feed requirements'!B22*'Livestock feed requirements'!B25</f>
        <v>23.831105623264229</v>
      </c>
      <c r="G147" s="327">
        <f>F147/Corn</f>
        <v>2.8762580848793779E-3</v>
      </c>
      <c r="H147" s="631" t="s">
        <v>68</v>
      </c>
      <c r="I147" s="631" t="s">
        <v>68</v>
      </c>
      <c r="J147" s="671"/>
    </row>
    <row r="148" spans="1:10" x14ac:dyDescent="0.15">
      <c r="A148" s="309" t="s">
        <v>354</v>
      </c>
      <c r="B148" s="311" t="s">
        <v>654</v>
      </c>
      <c r="C148" s="106" t="s">
        <v>341</v>
      </c>
      <c r="D148" s="284" t="s">
        <v>657</v>
      </c>
      <c r="E148" s="289">
        <f>'Food requirements'!I$173*Percent__dairy__beef</f>
        <v>12.569756600236454</v>
      </c>
      <c r="F148" s="289">
        <f>E148*'Livestock feed requirements'!E15*'Livestock feed requirements'!E22*'Livestock feed requirements'!E25</f>
        <v>4.1084930339061883</v>
      </c>
      <c r="G148" s="327">
        <f>F148/Soybeans</f>
        <v>1.6846873694538163E-3</v>
      </c>
      <c r="H148" s="631" t="s">
        <v>68</v>
      </c>
      <c r="I148" s="631" t="s">
        <v>68</v>
      </c>
      <c r="J148" s="671"/>
    </row>
    <row r="149" spans="1:10" s="308" customFormat="1" x14ac:dyDescent="0.15">
      <c r="A149" s="309" t="s">
        <v>354</v>
      </c>
      <c r="B149" s="311" t="s">
        <v>654</v>
      </c>
      <c r="C149" s="106" t="s">
        <v>633</v>
      </c>
      <c r="D149" s="284" t="s">
        <v>716</v>
      </c>
      <c r="E149" s="289">
        <f>'Food requirements'!I$173*Percent__dairy__beef</f>
        <v>12.569756600236454</v>
      </c>
      <c r="F149" s="289">
        <f>E149*'Livestock feed requirements'!K15*'Livestock feed requirements'!K22*'Livestock feed requirements'!K25</f>
        <v>1.6715609001703249</v>
      </c>
      <c r="G149" s="631" t="s">
        <v>68</v>
      </c>
      <c r="H149" s="327">
        <f>F149/Alfalfa_hay</f>
        <v>2.4941901657451944E-4</v>
      </c>
      <c r="I149" s="631" t="s">
        <v>68</v>
      </c>
      <c r="J149" s="671"/>
    </row>
    <row r="150" spans="1:10" s="308" customFormat="1" x14ac:dyDescent="0.15">
      <c r="A150" s="309" t="s">
        <v>354</v>
      </c>
      <c r="B150" s="311" t="s">
        <v>654</v>
      </c>
      <c r="C150" s="106" t="s">
        <v>342</v>
      </c>
      <c r="D150" s="284" t="s">
        <v>717</v>
      </c>
      <c r="E150" s="289">
        <f>'Food requirements'!I$173*Percent__dairy__beef</f>
        <v>12.569756600236454</v>
      </c>
      <c r="F150" s="289">
        <f>E150*'Livestock feed requirements'!N15*'Livestock feed requirements'!N22*'Livestock feed requirements'!N25</f>
        <v>7.5173640194695937</v>
      </c>
      <c r="G150" s="327">
        <f>F150/Corn_Silage</f>
        <v>2.1929299940109663E-4</v>
      </c>
      <c r="H150" s="631" t="s">
        <v>68</v>
      </c>
      <c r="I150" s="631" t="s">
        <v>68</v>
      </c>
      <c r="J150" s="671"/>
    </row>
    <row r="151" spans="1:10" x14ac:dyDescent="0.15">
      <c r="A151" s="46" t="s">
        <v>354</v>
      </c>
      <c r="B151" s="15" t="s">
        <v>198</v>
      </c>
      <c r="C151" s="106" t="s">
        <v>345</v>
      </c>
      <c r="D151" s="284" t="s">
        <v>639</v>
      </c>
      <c r="E151" s="289">
        <f>'Food requirements'!I$175</f>
        <v>55.512752620687174</v>
      </c>
      <c r="F151" s="289">
        <f>E151*'Livestock feed requirements'!B16*'Livestock feed requirements'!B22*'Livestock feed requirements'!B25</f>
        <v>138.86437141567239</v>
      </c>
      <c r="G151" s="275">
        <f>F151/Corn</f>
        <v>1.6760018494320784E-2</v>
      </c>
      <c r="H151" s="631" t="s">
        <v>68</v>
      </c>
      <c r="I151" s="631" t="s">
        <v>68</v>
      </c>
      <c r="J151" s="671"/>
    </row>
    <row r="152" spans="1:10" x14ac:dyDescent="0.15">
      <c r="A152" s="46" t="s">
        <v>354</v>
      </c>
      <c r="B152" s="15" t="s">
        <v>198</v>
      </c>
      <c r="C152" s="106" t="s">
        <v>341</v>
      </c>
      <c r="D152" s="284" t="s">
        <v>640</v>
      </c>
      <c r="E152" s="289">
        <f>'Food requirements'!I$175</f>
        <v>55.512752620687174</v>
      </c>
      <c r="F152" s="289">
        <f>E152*'Livestock feed requirements'!E16*'Livestock feed requirements'!E22*'Livestock feed requirements'!E25</f>
        <v>41.180125729128655</v>
      </c>
      <c r="G152" s="275">
        <f>F152/Soybeans</f>
        <v>1.688590855962183E-2</v>
      </c>
      <c r="H152" s="631" t="s">
        <v>68</v>
      </c>
      <c r="I152" s="631" t="s">
        <v>68</v>
      </c>
      <c r="J152" s="671"/>
    </row>
    <row r="153" spans="1:10" x14ac:dyDescent="0.15">
      <c r="A153" s="46" t="s">
        <v>354</v>
      </c>
      <c r="B153" s="14" t="s">
        <v>199</v>
      </c>
      <c r="C153" s="106" t="s">
        <v>661</v>
      </c>
      <c r="D153" s="284" t="s">
        <v>678</v>
      </c>
      <c r="E153" s="289">
        <f>'Food requirements'!$I$176</f>
        <v>0</v>
      </c>
      <c r="F153" s="631" t="s">
        <v>68</v>
      </c>
      <c r="G153" s="631" t="s">
        <v>68</v>
      </c>
      <c r="H153" s="631" t="s">
        <v>68</v>
      </c>
      <c r="I153" s="631" t="s">
        <v>68</v>
      </c>
      <c r="J153" s="672" t="s">
        <v>1207</v>
      </c>
    </row>
    <row r="154" spans="1:10" x14ac:dyDescent="0.15">
      <c r="A154" s="46" t="s">
        <v>354</v>
      </c>
      <c r="B154" s="14" t="s">
        <v>199</v>
      </c>
      <c r="C154" s="106" t="s">
        <v>661</v>
      </c>
      <c r="D154" s="284" t="s">
        <v>678</v>
      </c>
      <c r="E154" s="289">
        <f>'Food requirements'!$I$176</f>
        <v>0</v>
      </c>
      <c r="F154" s="631" t="s">
        <v>68</v>
      </c>
      <c r="G154" s="631" t="s">
        <v>68</v>
      </c>
      <c r="H154" s="631" t="s">
        <v>68</v>
      </c>
      <c r="I154" s="631" t="s">
        <v>68</v>
      </c>
      <c r="J154" s="672" t="s">
        <v>1207</v>
      </c>
    </row>
    <row r="155" spans="1:10" x14ac:dyDescent="0.15">
      <c r="A155" s="46" t="s">
        <v>354</v>
      </c>
      <c r="B155" s="14" t="s">
        <v>199</v>
      </c>
      <c r="C155" s="106" t="s">
        <v>661</v>
      </c>
      <c r="D155" s="284" t="s">
        <v>678</v>
      </c>
      <c r="E155" s="289">
        <f>'Food requirements'!$I$176</f>
        <v>0</v>
      </c>
      <c r="F155" s="631" t="s">
        <v>68</v>
      </c>
      <c r="G155" s="631" t="s">
        <v>68</v>
      </c>
      <c r="H155" s="631" t="s">
        <v>68</v>
      </c>
      <c r="I155" s="631" t="s">
        <v>68</v>
      </c>
      <c r="J155" s="672" t="s">
        <v>1207</v>
      </c>
    </row>
    <row r="156" spans="1:10" x14ac:dyDescent="0.15">
      <c r="A156" s="46" t="s">
        <v>354</v>
      </c>
      <c r="B156" s="15" t="s">
        <v>200</v>
      </c>
      <c r="C156" s="106" t="s">
        <v>345</v>
      </c>
      <c r="D156" s="284" t="s">
        <v>641</v>
      </c>
      <c r="E156" s="289">
        <f>'Food requirements'!I$177</f>
        <v>54.569157390358569</v>
      </c>
      <c r="F156" s="289">
        <f>E156*'Livestock feed requirements'!B10*'Livestock feed requirements'!B22*'Livestock feed requirements'!B25</f>
        <v>82.564960051354831</v>
      </c>
      <c r="G156" s="275">
        <f>F156/Corn</f>
        <v>9.9650489419015036E-3</v>
      </c>
      <c r="H156" s="631" t="s">
        <v>68</v>
      </c>
      <c r="I156" s="631" t="s">
        <v>68</v>
      </c>
      <c r="J156" s="671"/>
    </row>
    <row r="157" spans="1:10" x14ac:dyDescent="0.15">
      <c r="A157" s="46" t="s">
        <v>354</v>
      </c>
      <c r="B157" s="15" t="s">
        <v>200</v>
      </c>
      <c r="C157" s="106" t="s">
        <v>341</v>
      </c>
      <c r="D157" s="284" t="s">
        <v>642</v>
      </c>
      <c r="E157" s="289">
        <f>'Food requirements'!I$177</f>
        <v>54.569157390358569</v>
      </c>
      <c r="F157" s="289">
        <f>E157*'Livestock feed requirements'!E10*'Livestock feed requirements'!E22*'Livestock feed requirements'!E25</f>
        <v>47.864230246909372</v>
      </c>
      <c r="G157" s="275">
        <f>F157/Soybeans</f>
        <v>1.962672529322311E-2</v>
      </c>
      <c r="H157" s="631" t="s">
        <v>68</v>
      </c>
      <c r="I157" s="631" t="s">
        <v>68</v>
      </c>
      <c r="J157" s="671"/>
    </row>
    <row r="158" spans="1:10" x14ac:dyDescent="0.15">
      <c r="A158" s="46" t="s">
        <v>354</v>
      </c>
      <c r="B158" s="15" t="s">
        <v>201</v>
      </c>
      <c r="C158" s="106" t="s">
        <v>345</v>
      </c>
      <c r="D158" s="284" t="s">
        <v>643</v>
      </c>
      <c r="E158" s="289">
        <f>'Food requirements'!I$178</f>
        <v>11.107913809462175</v>
      </c>
      <c r="F158" s="289">
        <f>E158*'Livestock feed requirements'!B11*'Livestock feed requirements'!B22*'Livestock feed requirements'!B25</f>
        <v>23.430505592145295</v>
      </c>
      <c r="G158" s="275">
        <f>F158/Corn</f>
        <v>2.8279082895940116E-3</v>
      </c>
      <c r="H158" s="631" t="s">
        <v>68</v>
      </c>
      <c r="I158" s="631" t="s">
        <v>68</v>
      </c>
      <c r="J158" s="671"/>
    </row>
    <row r="159" spans="1:10" x14ac:dyDescent="0.15">
      <c r="A159" s="46" t="s">
        <v>354</v>
      </c>
      <c r="B159" s="15" t="s">
        <v>201</v>
      </c>
      <c r="C159" s="106" t="s">
        <v>341</v>
      </c>
      <c r="D159" s="284" t="s">
        <v>644</v>
      </c>
      <c r="E159" s="289">
        <f>'Food requirements'!I$178</f>
        <v>11.107913809462175</v>
      </c>
      <c r="F159" s="289">
        <f>E159*'Livestock feed requirements'!E11*'Livestock feed requirements'!E22*'Livestock feed requirements'!E25</f>
        <v>13.982880223274194</v>
      </c>
      <c r="G159" s="275">
        <f>F159/Soybeans</f>
        <v>5.733679357936932E-3</v>
      </c>
      <c r="H159" s="631" t="s">
        <v>68</v>
      </c>
      <c r="I159" s="631" t="s">
        <v>68</v>
      </c>
      <c r="J159" s="671"/>
    </row>
    <row r="160" spans="1:10" x14ac:dyDescent="0.15">
      <c r="A160" s="46" t="s">
        <v>354</v>
      </c>
      <c r="B160" s="15" t="s">
        <v>202</v>
      </c>
      <c r="C160" s="183" t="s">
        <v>1015</v>
      </c>
      <c r="D160" s="183" t="s">
        <v>610</v>
      </c>
      <c r="E160" s="223" t="e">
        <f>'Food requirements'!I179</f>
        <v>#VALUE!</v>
      </c>
      <c r="F160" s="631" t="s">
        <v>68</v>
      </c>
      <c r="G160" s="631" t="s">
        <v>68</v>
      </c>
      <c r="H160" s="631" t="s">
        <v>68</v>
      </c>
      <c r="I160" s="631" t="s">
        <v>68</v>
      </c>
      <c r="J160" s="672" t="s">
        <v>1208</v>
      </c>
    </row>
    <row r="161" spans="1:10" x14ac:dyDescent="0.15">
      <c r="A161" s="46" t="s">
        <v>354</v>
      </c>
      <c r="B161" s="15" t="s">
        <v>204</v>
      </c>
      <c r="C161" s="99" t="s">
        <v>981</v>
      </c>
      <c r="D161" s="99" t="s">
        <v>611</v>
      </c>
      <c r="E161" s="223" t="e">
        <f>'Food requirements'!I180</f>
        <v>#VALUE!</v>
      </c>
      <c r="F161" s="631" t="s">
        <v>68</v>
      </c>
      <c r="G161" s="631" t="s">
        <v>68</v>
      </c>
      <c r="H161" s="631" t="s">
        <v>68</v>
      </c>
      <c r="I161" s="631" t="s">
        <v>68</v>
      </c>
      <c r="J161" s="672" t="s">
        <v>1208</v>
      </c>
    </row>
    <row r="162" spans="1:10" x14ac:dyDescent="0.15">
      <c r="A162" s="46" t="s">
        <v>354</v>
      </c>
      <c r="B162" s="15" t="s">
        <v>205</v>
      </c>
      <c r="C162" s="99" t="s">
        <v>981</v>
      </c>
      <c r="D162" s="99" t="s">
        <v>612</v>
      </c>
      <c r="E162" s="223" t="e">
        <f>'Food requirements'!I181</f>
        <v>#VALUE!</v>
      </c>
      <c r="F162" s="631" t="s">
        <v>68</v>
      </c>
      <c r="G162" s="631" t="s">
        <v>68</v>
      </c>
      <c r="H162" s="631" t="s">
        <v>68</v>
      </c>
      <c r="I162" s="631" t="s">
        <v>68</v>
      </c>
      <c r="J162" s="672" t="s">
        <v>1208</v>
      </c>
    </row>
    <row r="163" spans="1:10" x14ac:dyDescent="0.15">
      <c r="A163" s="46" t="s">
        <v>354</v>
      </c>
      <c r="B163" s="15" t="s">
        <v>206</v>
      </c>
      <c r="C163" s="99" t="s">
        <v>981</v>
      </c>
      <c r="D163" s="99" t="s">
        <v>613</v>
      </c>
      <c r="E163" s="223" t="e">
        <f>'Food requirements'!I182</f>
        <v>#VALUE!</v>
      </c>
      <c r="F163" s="631" t="s">
        <v>68</v>
      </c>
      <c r="G163" s="631" t="s">
        <v>68</v>
      </c>
      <c r="H163" s="631" t="s">
        <v>68</v>
      </c>
      <c r="I163" s="631" t="s">
        <v>68</v>
      </c>
      <c r="J163" s="672" t="s">
        <v>1208</v>
      </c>
    </row>
    <row r="164" spans="1:10" x14ac:dyDescent="0.15">
      <c r="A164" s="46" t="s">
        <v>354</v>
      </c>
      <c r="B164" s="15" t="s">
        <v>203</v>
      </c>
      <c r="C164" s="99" t="s">
        <v>981</v>
      </c>
      <c r="D164" s="99" t="s">
        <v>614</v>
      </c>
      <c r="E164" s="223" t="e">
        <f>'Food requirements'!I183</f>
        <v>#VALUE!</v>
      </c>
      <c r="F164" s="631" t="s">
        <v>68</v>
      </c>
      <c r="G164" s="631" t="s">
        <v>68</v>
      </c>
      <c r="H164" s="631" t="s">
        <v>68</v>
      </c>
      <c r="I164" s="631" t="s">
        <v>68</v>
      </c>
      <c r="J164" s="672" t="s">
        <v>1208</v>
      </c>
    </row>
    <row r="165" spans="1:10" x14ac:dyDescent="0.15">
      <c r="A165" s="46" t="s">
        <v>354</v>
      </c>
      <c r="B165" s="15" t="s">
        <v>175</v>
      </c>
      <c r="C165" s="99" t="s">
        <v>981</v>
      </c>
      <c r="D165" s="99" t="s">
        <v>615</v>
      </c>
      <c r="E165" s="223" t="e">
        <f>'Food requirements'!I184</f>
        <v>#VALUE!</v>
      </c>
      <c r="F165" s="631" t="s">
        <v>68</v>
      </c>
      <c r="G165" s="631" t="s">
        <v>68</v>
      </c>
      <c r="H165" s="631" t="s">
        <v>68</v>
      </c>
      <c r="I165" s="631" t="s">
        <v>68</v>
      </c>
      <c r="J165" s="672" t="s">
        <v>1208</v>
      </c>
    </row>
    <row r="166" spans="1:10" x14ac:dyDescent="0.15">
      <c r="A166" s="46" t="s">
        <v>354</v>
      </c>
      <c r="B166" s="15" t="s">
        <v>207</v>
      </c>
      <c r="C166" s="99" t="s">
        <v>207</v>
      </c>
      <c r="D166" s="99" t="s">
        <v>616</v>
      </c>
      <c r="E166" s="223" t="e">
        <f>'Food requirements'!I185</f>
        <v>#VALUE!</v>
      </c>
      <c r="F166" s="631" t="s">
        <v>68</v>
      </c>
      <c r="G166" s="631" t="s">
        <v>68</v>
      </c>
      <c r="H166" s="631" t="s">
        <v>68</v>
      </c>
      <c r="I166" s="631" t="s">
        <v>68</v>
      </c>
      <c r="J166" s="672" t="s">
        <v>1208</v>
      </c>
    </row>
    <row r="167" spans="1:10" x14ac:dyDescent="0.15">
      <c r="A167" s="46" t="s">
        <v>354</v>
      </c>
      <c r="B167" s="15" t="s">
        <v>208</v>
      </c>
      <c r="C167" s="86" t="s">
        <v>345</v>
      </c>
      <c r="D167" s="290" t="s">
        <v>645</v>
      </c>
      <c r="E167" s="189">
        <f>'Food requirements'!I186</f>
        <v>33.994072363406104</v>
      </c>
      <c r="F167" s="316">
        <f>E167*'Livestock feed requirements'!B9*'Livestock feed requirements'!B22*'Livestock feed requirements'!B25</f>
        <v>72.269831298407482</v>
      </c>
      <c r="G167" s="275">
        <f>F167/Corn</f>
        <v>8.7224944512012542E-3</v>
      </c>
      <c r="H167" s="631" t="s">
        <v>68</v>
      </c>
      <c r="I167" s="631" t="s">
        <v>68</v>
      </c>
      <c r="J167" s="671"/>
    </row>
    <row r="168" spans="1:10" x14ac:dyDescent="0.15">
      <c r="A168" s="46" t="s">
        <v>354</v>
      </c>
      <c r="B168" s="15" t="s">
        <v>208</v>
      </c>
      <c r="C168" s="106" t="s">
        <v>341</v>
      </c>
      <c r="D168" s="290" t="s">
        <v>646</v>
      </c>
      <c r="E168" s="189">
        <f>'Food requirements'!I186</f>
        <v>33.994072363406104</v>
      </c>
      <c r="F168" s="316">
        <f>E168*'Livestock feed requirements'!E9*'Livestock feed requirements'!E22*'Livestock feed requirements'!E25</f>
        <v>24.934481640414472</v>
      </c>
      <c r="G168" s="275">
        <f>F168/Soybeans</f>
        <v>1.0224382988315784E-2</v>
      </c>
      <c r="H168" s="631" t="s">
        <v>68</v>
      </c>
      <c r="I168" s="631" t="s">
        <v>68</v>
      </c>
      <c r="J168" s="671"/>
    </row>
    <row r="169" spans="1:10" x14ac:dyDescent="0.15">
      <c r="A169" s="46" t="s">
        <v>354</v>
      </c>
      <c r="B169" s="15" t="s">
        <v>209</v>
      </c>
      <c r="C169" s="33" t="s">
        <v>1016</v>
      </c>
      <c r="D169" s="33" t="s">
        <v>609</v>
      </c>
      <c r="E169" s="223">
        <f>'Food requirements'!I187</f>
        <v>10.349817536334655</v>
      </c>
      <c r="F169" s="631" t="s">
        <v>68</v>
      </c>
      <c r="G169" s="221">
        <f>E169/Peanuts</f>
        <v>3.4298795800223299E-3</v>
      </c>
      <c r="H169" s="631" t="s">
        <v>68</v>
      </c>
      <c r="I169" s="631" t="s">
        <v>68</v>
      </c>
      <c r="J169" s="671"/>
    </row>
    <row r="170" spans="1:10" x14ac:dyDescent="0.15">
      <c r="A170" s="46" t="s">
        <v>354</v>
      </c>
      <c r="B170" s="15" t="s">
        <v>210</v>
      </c>
      <c r="C170" s="312" t="s">
        <v>1016</v>
      </c>
      <c r="D170" s="33" t="s">
        <v>617</v>
      </c>
      <c r="E170" s="223" t="e">
        <f>'Food requirements'!I188</f>
        <v>#VALUE!</v>
      </c>
      <c r="F170" s="631" t="s">
        <v>68</v>
      </c>
      <c r="G170" s="631" t="s">
        <v>68</v>
      </c>
      <c r="H170" s="631" t="s">
        <v>68</v>
      </c>
      <c r="I170" s="631" t="s">
        <v>68</v>
      </c>
      <c r="J170" s="604" t="s">
        <v>1206</v>
      </c>
    </row>
    <row r="171" spans="1:10" x14ac:dyDescent="0.15">
      <c r="A171" s="46" t="s">
        <v>354</v>
      </c>
      <c r="B171" s="15" t="s">
        <v>211</v>
      </c>
      <c r="C171" s="312" t="s">
        <v>1016</v>
      </c>
      <c r="D171" s="33" t="s">
        <v>582</v>
      </c>
      <c r="E171" s="223">
        <f>'Food requirements'!I189</f>
        <v>3.1561863391557776</v>
      </c>
      <c r="F171" s="631" t="s">
        <v>68</v>
      </c>
      <c r="G171" s="327">
        <f>E171/Almonds</f>
        <v>9.3934117236779073E-4</v>
      </c>
      <c r="H171" s="631" t="s">
        <v>68</v>
      </c>
      <c r="I171" s="631" t="s">
        <v>68</v>
      </c>
      <c r="J171" s="671"/>
    </row>
    <row r="172" spans="1:10" x14ac:dyDescent="0.15">
      <c r="A172" s="46" t="s">
        <v>354</v>
      </c>
      <c r="B172" s="15" t="s">
        <v>212</v>
      </c>
      <c r="C172" s="312" t="s">
        <v>1016</v>
      </c>
      <c r="D172" s="33" t="s">
        <v>583</v>
      </c>
      <c r="E172" s="223">
        <f>'Food requirements'!I190</f>
        <v>0.22923716344933073</v>
      </c>
      <c r="F172" s="631" t="s">
        <v>68</v>
      </c>
      <c r="G172" s="327">
        <f>E172/Hazelnuts</f>
        <v>9.4900389652436825E-5</v>
      </c>
      <c r="H172" s="631" t="s">
        <v>68</v>
      </c>
      <c r="I172" s="631" t="s">
        <v>68</v>
      </c>
      <c r="J172" s="671"/>
    </row>
    <row r="173" spans="1:10" x14ac:dyDescent="0.15">
      <c r="A173" s="46" t="s">
        <v>354</v>
      </c>
      <c r="B173" s="15" t="s">
        <v>213</v>
      </c>
      <c r="C173" s="312" t="s">
        <v>1016</v>
      </c>
      <c r="D173" s="33" t="s">
        <v>325</v>
      </c>
      <c r="E173" s="223">
        <f>'Food requirements'!I191</f>
        <v>0</v>
      </c>
      <c r="F173" s="631" t="s">
        <v>68</v>
      </c>
      <c r="G173" s="631" t="s">
        <v>68</v>
      </c>
      <c r="H173" s="631" t="s">
        <v>68</v>
      </c>
      <c r="I173" s="631" t="s">
        <v>68</v>
      </c>
      <c r="J173" s="672" t="s">
        <v>1309</v>
      </c>
    </row>
    <row r="174" spans="1:10" x14ac:dyDescent="0.15">
      <c r="A174" s="46" t="s">
        <v>354</v>
      </c>
      <c r="B174" s="15" t="s">
        <v>214</v>
      </c>
      <c r="C174" s="312" t="s">
        <v>1016</v>
      </c>
      <c r="D174" s="33" t="s">
        <v>586</v>
      </c>
      <c r="E174" s="223">
        <f>'Food requirements'!I192</f>
        <v>1.6981661667081185</v>
      </c>
      <c r="F174" s="631" t="s">
        <v>68</v>
      </c>
      <c r="G174" s="327">
        <f>E174/Walnuts</f>
        <v>5.0109821312698574E-4</v>
      </c>
      <c r="H174" s="631" t="s">
        <v>68</v>
      </c>
      <c r="I174" s="631" t="s">
        <v>68</v>
      </c>
      <c r="J174" s="671"/>
    </row>
    <row r="175" spans="1:10" x14ac:dyDescent="0.15">
      <c r="A175" s="46" t="s">
        <v>354</v>
      </c>
      <c r="B175" s="15" t="s">
        <v>215</v>
      </c>
      <c r="C175" s="312" t="s">
        <v>1016</v>
      </c>
      <c r="D175" s="33" t="s">
        <v>618</v>
      </c>
      <c r="E175" s="223">
        <f>'Food requirements'!I193</f>
        <v>0.49889204870203319</v>
      </c>
      <c r="F175" s="631" t="s">
        <v>68</v>
      </c>
      <c r="G175" s="327">
        <f>E175/Macadamias</f>
        <v>1.6280016092524652E-4</v>
      </c>
      <c r="H175" s="631" t="s">
        <v>68</v>
      </c>
      <c r="I175" s="631" t="s">
        <v>68</v>
      </c>
      <c r="J175" s="671"/>
    </row>
    <row r="176" spans="1:10" x14ac:dyDescent="0.15">
      <c r="A176" s="46" t="s">
        <v>354</v>
      </c>
      <c r="B176" s="15" t="s">
        <v>216</v>
      </c>
      <c r="C176" s="312" t="s">
        <v>1016</v>
      </c>
      <c r="D176" s="33" t="s">
        <v>585</v>
      </c>
      <c r="E176" s="223">
        <f>'Food requirements'!I194</f>
        <v>0.61948574716204219</v>
      </c>
      <c r="F176" s="631" t="s">
        <v>68</v>
      </c>
      <c r="G176" s="327">
        <f>E176/Pistachios</f>
        <v>2.1263812831649046E-4</v>
      </c>
      <c r="H176" s="631" t="s">
        <v>68</v>
      </c>
      <c r="I176" s="631" t="s">
        <v>68</v>
      </c>
      <c r="J176" s="671"/>
    </row>
    <row r="177" spans="1:10" x14ac:dyDescent="0.15">
      <c r="A177" s="25" t="s">
        <v>354</v>
      </c>
      <c r="B177" s="25" t="s">
        <v>217</v>
      </c>
      <c r="C177" s="34" t="s">
        <v>1016</v>
      </c>
      <c r="D177" s="34" t="s">
        <v>619</v>
      </c>
      <c r="E177" s="224" t="e">
        <f>'Food requirements'!I195</f>
        <v>#VALUE!</v>
      </c>
      <c r="F177" s="654" t="s">
        <v>68</v>
      </c>
      <c r="G177" s="654" t="s">
        <v>68</v>
      </c>
      <c r="H177" s="654" t="s">
        <v>68</v>
      </c>
      <c r="I177" s="654" t="s">
        <v>68</v>
      </c>
      <c r="J177" s="675" t="s">
        <v>1209</v>
      </c>
    </row>
    <row r="178" spans="1:10" x14ac:dyDescent="0.15">
      <c r="A178" s="315" t="s">
        <v>8</v>
      </c>
      <c r="B178" s="315" t="s">
        <v>219</v>
      </c>
      <c r="C178" s="99"/>
      <c r="D178" s="183" t="s">
        <v>703</v>
      </c>
      <c r="E178" s="225">
        <f>'Food requirements'!$F$198*'Fats and oils'!G10*'Fats and oils'!K10*365/454</f>
        <v>4.3628588192446474</v>
      </c>
      <c r="F178" s="541" t="s">
        <v>68</v>
      </c>
      <c r="G178" s="321">
        <f>E178/Soybeans</f>
        <v>1.7889900474051712E-3</v>
      </c>
      <c r="H178" s="631" t="s">
        <v>68</v>
      </c>
      <c r="I178" s="631" t="s">
        <v>68</v>
      </c>
      <c r="J178" s="672" t="s">
        <v>1287</v>
      </c>
    </row>
    <row r="179" spans="1:10" s="308" customFormat="1" x14ac:dyDescent="0.15">
      <c r="A179" s="661" t="s">
        <v>8</v>
      </c>
      <c r="B179" s="661" t="s">
        <v>219</v>
      </c>
      <c r="C179" s="666"/>
      <c r="D179" s="666" t="s">
        <v>705</v>
      </c>
      <c r="E179" s="667">
        <f>'Food requirements'!$F$198*'Fats and oils'!G12*'Fats and oils'!K12*365/454</f>
        <v>0</v>
      </c>
      <c r="F179" s="664" t="s">
        <v>68</v>
      </c>
      <c r="G179" s="668">
        <f>E179/Corn</f>
        <v>0</v>
      </c>
      <c r="H179" s="664" t="s">
        <v>68</v>
      </c>
      <c r="I179" s="664" t="s">
        <v>68</v>
      </c>
      <c r="J179" s="676" t="s">
        <v>1210</v>
      </c>
    </row>
    <row r="180" spans="1:10" s="308" customFormat="1" x14ac:dyDescent="0.15">
      <c r="A180" s="661" t="s">
        <v>8</v>
      </c>
      <c r="B180" s="661" t="s">
        <v>219</v>
      </c>
      <c r="C180" s="666"/>
      <c r="D180" s="666" t="s">
        <v>709</v>
      </c>
      <c r="E180" s="667">
        <f>'Food requirements'!$F$198*('Fats and oils'!G16)/2*'Fats and oils'!K17*365/454</f>
        <v>0</v>
      </c>
      <c r="F180" s="664" t="s">
        <v>68</v>
      </c>
      <c r="G180" s="668">
        <f>IF(E180&lt;E151,0,"VALUE")</f>
        <v>0</v>
      </c>
      <c r="H180" s="664" t="s">
        <v>68</v>
      </c>
      <c r="I180" s="664" t="s">
        <v>68</v>
      </c>
      <c r="J180" s="676" t="s">
        <v>1211</v>
      </c>
    </row>
    <row r="181" spans="1:10" s="308" customFormat="1" x14ac:dyDescent="0.15">
      <c r="A181" s="661" t="s">
        <v>8</v>
      </c>
      <c r="B181" s="661" t="s">
        <v>219</v>
      </c>
      <c r="C181" s="666"/>
      <c r="D181" s="666" t="s">
        <v>710</v>
      </c>
      <c r="E181" s="667">
        <f>'Food requirements'!$F$198*('Fats and oils'!G16)/2*'Fats and oils'!K18*365/454</f>
        <v>0</v>
      </c>
      <c r="F181" s="664" t="s">
        <v>68</v>
      </c>
      <c r="G181" s="668">
        <f>IF(E181&lt;(E142+E146),0,"VALUE")</f>
        <v>0</v>
      </c>
      <c r="H181" s="664" t="s">
        <v>68</v>
      </c>
      <c r="I181" s="664" t="s">
        <v>68</v>
      </c>
      <c r="J181" s="676" t="s">
        <v>1212</v>
      </c>
    </row>
    <row r="182" spans="1:10" x14ac:dyDescent="0.15">
      <c r="A182" s="669" t="s">
        <v>8</v>
      </c>
      <c r="B182" s="661" t="s">
        <v>220</v>
      </c>
      <c r="C182" s="666"/>
      <c r="D182" s="666" t="s">
        <v>647</v>
      </c>
      <c r="E182" s="667">
        <f>'Food requirements'!I199</f>
        <v>0</v>
      </c>
      <c r="F182" s="664" t="s">
        <v>68</v>
      </c>
      <c r="G182" s="668">
        <f>IF(E182&lt;E151,0,"VALUE")</f>
        <v>0</v>
      </c>
      <c r="H182" s="664" t="s">
        <v>68</v>
      </c>
      <c r="I182" s="664" t="s">
        <v>68</v>
      </c>
      <c r="J182" s="676" t="s">
        <v>1211</v>
      </c>
    </row>
    <row r="183" spans="1:10" x14ac:dyDescent="0.15">
      <c r="A183" s="669" t="s">
        <v>8</v>
      </c>
      <c r="B183" s="661" t="s">
        <v>221</v>
      </c>
      <c r="C183" s="666"/>
      <c r="D183" s="666" t="s">
        <v>711</v>
      </c>
      <c r="E183" s="667">
        <f>'Food requirements'!I200</f>
        <v>0</v>
      </c>
      <c r="F183" s="664" t="s">
        <v>68</v>
      </c>
      <c r="G183" s="668">
        <f>IF(E183&lt;(E142+E146),0,"VALUE")</f>
        <v>0</v>
      </c>
      <c r="H183" s="664" t="s">
        <v>68</v>
      </c>
      <c r="I183" s="664" t="s">
        <v>68</v>
      </c>
      <c r="J183" s="676" t="s">
        <v>1212</v>
      </c>
    </row>
    <row r="184" spans="1:10" x14ac:dyDescent="0.15">
      <c r="A184" s="68" t="s">
        <v>8</v>
      </c>
      <c r="B184" s="98" t="s">
        <v>222</v>
      </c>
      <c r="C184" s="99"/>
      <c r="D184" s="183" t="s">
        <v>703</v>
      </c>
      <c r="E184" s="225">
        <f>'Food requirements'!$F$201*'Fats and oils'!I10*'Fats and oils'!K10*365/454</f>
        <v>34.931338268494756</v>
      </c>
      <c r="F184" s="541" t="s">
        <v>68</v>
      </c>
      <c r="G184" s="321">
        <f>E184/Soybeans</f>
        <v>1.4323593564207945E-2</v>
      </c>
      <c r="H184" s="631" t="s">
        <v>68</v>
      </c>
      <c r="I184" s="631" t="s">
        <v>68</v>
      </c>
      <c r="J184" s="672" t="s">
        <v>1287</v>
      </c>
    </row>
    <row r="185" spans="1:10" s="308" customFormat="1" x14ac:dyDescent="0.15">
      <c r="A185" s="669" t="s">
        <v>8</v>
      </c>
      <c r="B185" s="661" t="s">
        <v>222</v>
      </c>
      <c r="C185" s="666"/>
      <c r="D185" s="666" t="s">
        <v>704</v>
      </c>
      <c r="E185" s="667">
        <f>'Food requirements'!$F$201*'Fats and oils'!I11*'Fats and oils'!K11*365/454</f>
        <v>0</v>
      </c>
      <c r="F185" s="664" t="s">
        <v>68</v>
      </c>
      <c r="G185" s="668">
        <f>E185/Cottonseed</f>
        <v>0</v>
      </c>
      <c r="H185" s="664" t="s">
        <v>68</v>
      </c>
      <c r="I185" s="664" t="s">
        <v>68</v>
      </c>
      <c r="J185" s="676" t="s">
        <v>1213</v>
      </c>
    </row>
    <row r="186" spans="1:10" s="308" customFormat="1" x14ac:dyDescent="0.15">
      <c r="A186" s="669" t="s">
        <v>8</v>
      </c>
      <c r="B186" s="661" t="s">
        <v>222</v>
      </c>
      <c r="C186" s="666"/>
      <c r="D186" s="666" t="s">
        <v>705</v>
      </c>
      <c r="E186" s="667">
        <f>'Food requirements'!$F$201*'Fats and oils'!I12*'Fats and oils'!K12*365/454</f>
        <v>0</v>
      </c>
      <c r="F186" s="664" t="s">
        <v>68</v>
      </c>
      <c r="G186" s="668">
        <f>E186/Corn</f>
        <v>0</v>
      </c>
      <c r="H186" s="664" t="s">
        <v>68</v>
      </c>
      <c r="I186" s="664" t="s">
        <v>68</v>
      </c>
      <c r="J186" s="676" t="s">
        <v>1210</v>
      </c>
    </row>
    <row r="187" spans="1:10" s="308" customFormat="1" x14ac:dyDescent="0.15">
      <c r="A187" s="669" t="s">
        <v>8</v>
      </c>
      <c r="B187" s="661" t="s">
        <v>222</v>
      </c>
      <c r="C187" s="666"/>
      <c r="D187" s="666" t="s">
        <v>709</v>
      </c>
      <c r="E187" s="667">
        <f>'Food requirements'!$F$201*'Fats and oils'!I17*'Fats and oils'!K17*365/454</f>
        <v>0</v>
      </c>
      <c r="F187" s="664" t="s">
        <v>68</v>
      </c>
      <c r="G187" s="668">
        <f>IF(E187&lt;E151,0,"VALUE")</f>
        <v>0</v>
      </c>
      <c r="H187" s="664" t="s">
        <v>68</v>
      </c>
      <c r="I187" s="664" t="s">
        <v>68</v>
      </c>
      <c r="J187" s="676" t="s">
        <v>1211</v>
      </c>
    </row>
    <row r="188" spans="1:10" s="308" customFormat="1" x14ac:dyDescent="0.15">
      <c r="A188" s="669" t="s">
        <v>8</v>
      </c>
      <c r="B188" s="661" t="s">
        <v>222</v>
      </c>
      <c r="C188" s="666"/>
      <c r="D188" s="666" t="s">
        <v>710</v>
      </c>
      <c r="E188" s="667">
        <f>'Food requirements'!$F$201*'Fats and oils'!I18*'Fats and oils'!K18*365/454</f>
        <v>0</v>
      </c>
      <c r="F188" s="664" t="s">
        <v>68</v>
      </c>
      <c r="G188" s="668">
        <f>IF(E188&lt;(E142+E146),0,"VALUE")</f>
        <v>0</v>
      </c>
      <c r="H188" s="664" t="s">
        <v>68</v>
      </c>
      <c r="I188" s="664" t="s">
        <v>68</v>
      </c>
      <c r="J188" s="676" t="s">
        <v>1212</v>
      </c>
    </row>
    <row r="189" spans="1:10" x14ac:dyDescent="0.15">
      <c r="A189" s="68" t="s">
        <v>8</v>
      </c>
      <c r="B189" s="98" t="s">
        <v>223</v>
      </c>
      <c r="C189" s="99"/>
      <c r="D189" s="183" t="s">
        <v>703</v>
      </c>
      <c r="E189" s="225">
        <f>'Food requirements'!$F$202*'Fats and oils'!C10*'Fats and oils'!K10*365/454</f>
        <v>68.703802301192155</v>
      </c>
      <c r="F189" s="541" t="s">
        <v>68</v>
      </c>
      <c r="G189" s="321">
        <f>E189/Soybeans</f>
        <v>2.8171990804186749E-2</v>
      </c>
      <c r="H189" s="631" t="s">
        <v>68</v>
      </c>
      <c r="I189" s="631" t="s">
        <v>68</v>
      </c>
      <c r="J189" s="672" t="s">
        <v>1287</v>
      </c>
    </row>
    <row r="190" spans="1:10" s="308" customFormat="1" x14ac:dyDescent="0.15">
      <c r="A190" s="669" t="s">
        <v>8</v>
      </c>
      <c r="B190" s="661" t="s">
        <v>223</v>
      </c>
      <c r="C190" s="662"/>
      <c r="D190" s="662" t="s">
        <v>704</v>
      </c>
      <c r="E190" s="663">
        <f>'Food requirements'!$F$202*'Fats and oils'!C11*'Fats and oils'!K11*365/454</f>
        <v>0</v>
      </c>
      <c r="F190" s="664" t="s">
        <v>68</v>
      </c>
      <c r="G190" s="665">
        <f>E190/Cottonseed</f>
        <v>0</v>
      </c>
      <c r="H190" s="664" t="s">
        <v>68</v>
      </c>
      <c r="I190" s="664" t="s">
        <v>68</v>
      </c>
      <c r="J190" s="676" t="s">
        <v>1213</v>
      </c>
    </row>
    <row r="191" spans="1:10" s="308" customFormat="1" x14ac:dyDescent="0.15">
      <c r="A191" s="669" t="s">
        <v>8</v>
      </c>
      <c r="B191" s="661" t="s">
        <v>223</v>
      </c>
      <c r="C191" s="662"/>
      <c r="D191" s="662" t="s">
        <v>705</v>
      </c>
      <c r="E191" s="663">
        <f>'Food requirements'!$F$202*'Fats and oils'!C12*'Fats and oils'!K12*365/454</f>
        <v>0</v>
      </c>
      <c r="F191" s="664" t="s">
        <v>68</v>
      </c>
      <c r="G191" s="665">
        <f>E191/Corn</f>
        <v>0</v>
      </c>
      <c r="H191" s="664" t="s">
        <v>68</v>
      </c>
      <c r="I191" s="664" t="s">
        <v>68</v>
      </c>
      <c r="J191" s="676" t="s">
        <v>1210</v>
      </c>
    </row>
    <row r="192" spans="1:10" s="308" customFormat="1" x14ac:dyDescent="0.15">
      <c r="A192" s="68" t="s">
        <v>8</v>
      </c>
      <c r="B192" s="315" t="s">
        <v>223</v>
      </c>
      <c r="C192" s="99"/>
      <c r="D192" s="183" t="s">
        <v>706</v>
      </c>
      <c r="E192" s="225">
        <f>'Food requirements'!$F$202*'Fats and oils'!C14*'Fats and oils'!K14*365/454</f>
        <v>3.7696537784731499</v>
      </c>
      <c r="F192" s="541" t="s">
        <v>68</v>
      </c>
      <c r="G192" s="321">
        <f>E192/Canola</f>
        <v>2.5884014708617135E-3</v>
      </c>
      <c r="H192" s="631" t="s">
        <v>68</v>
      </c>
      <c r="I192" s="631" t="s">
        <v>68</v>
      </c>
      <c r="J192" s="672" t="s">
        <v>1287</v>
      </c>
    </row>
    <row r="193" spans="1:10" s="308" customFormat="1" x14ac:dyDescent="0.15">
      <c r="A193" s="68" t="s">
        <v>8</v>
      </c>
      <c r="B193" s="315" t="s">
        <v>223</v>
      </c>
      <c r="C193" s="99"/>
      <c r="D193" s="183" t="s">
        <v>707</v>
      </c>
      <c r="E193" s="225">
        <f>'Food requirements'!$F$202*'Fats and oils'!C15*'Fats and oils'!K15*365/454</f>
        <v>5.0572197332982798</v>
      </c>
      <c r="F193" s="541" t="s">
        <v>68</v>
      </c>
      <c r="G193" s="321">
        <f>E193/Olives</f>
        <v>7.9156482782060018E-4</v>
      </c>
      <c r="H193" s="631" t="s">
        <v>68</v>
      </c>
      <c r="I193" s="631" t="s">
        <v>68</v>
      </c>
      <c r="J193" s="672" t="s">
        <v>1287</v>
      </c>
    </row>
    <row r="194" spans="1:10" x14ac:dyDescent="0.15">
      <c r="A194" s="68" t="s">
        <v>8</v>
      </c>
      <c r="B194" s="98" t="s">
        <v>224</v>
      </c>
      <c r="C194" s="99"/>
      <c r="D194" s="183" t="s">
        <v>703</v>
      </c>
      <c r="E194" s="225">
        <f>'Food requirements'!$F$203*'Fats and oils'!E10*'Fats and oils'!K10*365/454</f>
        <v>1.7130088529761969</v>
      </c>
      <c r="F194" s="541" t="s">
        <v>68</v>
      </c>
      <c r="G194" s="321">
        <f>E194/Soybeans</f>
        <v>7.0241919714971173E-4</v>
      </c>
      <c r="H194" s="631" t="s">
        <v>68</v>
      </c>
      <c r="I194" s="631" t="s">
        <v>68</v>
      </c>
      <c r="J194" s="672" t="s">
        <v>1287</v>
      </c>
    </row>
    <row r="195" spans="1:10" s="308" customFormat="1" x14ac:dyDescent="0.15">
      <c r="A195" s="669" t="s">
        <v>8</v>
      </c>
      <c r="B195" s="661" t="s">
        <v>224</v>
      </c>
      <c r="C195" s="662"/>
      <c r="D195" s="662" t="s">
        <v>704</v>
      </c>
      <c r="E195" s="663">
        <f>'Food requirements'!$F$203*'Fats and oils'!E11*'Fats and oils'!K11*365/454</f>
        <v>0</v>
      </c>
      <c r="F195" s="664" t="s">
        <v>68</v>
      </c>
      <c r="G195" s="665">
        <f>E195/Cottonseed</f>
        <v>0</v>
      </c>
      <c r="H195" s="664" t="s">
        <v>68</v>
      </c>
      <c r="I195" s="664" t="s">
        <v>68</v>
      </c>
      <c r="J195" s="676" t="s">
        <v>1213</v>
      </c>
    </row>
    <row r="196" spans="1:10" s="308" customFormat="1" x14ac:dyDescent="0.15">
      <c r="A196" s="669" t="s">
        <v>8</v>
      </c>
      <c r="B196" s="661" t="s">
        <v>224</v>
      </c>
      <c r="C196" s="662"/>
      <c r="D196" s="662" t="s">
        <v>705</v>
      </c>
      <c r="E196" s="663">
        <f>'Food requirements'!$F$203*'Fats and oils'!E12*'Fats and oils'!K12*365/454</f>
        <v>0</v>
      </c>
      <c r="F196" s="664" t="s">
        <v>68</v>
      </c>
      <c r="G196" s="665">
        <f>E196/Corn</f>
        <v>0</v>
      </c>
      <c r="H196" s="664" t="s">
        <v>68</v>
      </c>
      <c r="I196" s="664" t="s">
        <v>68</v>
      </c>
      <c r="J196" s="676" t="s">
        <v>1210</v>
      </c>
    </row>
    <row r="197" spans="1:10" s="308" customFormat="1" x14ac:dyDescent="0.15">
      <c r="A197" s="68" t="s">
        <v>8</v>
      </c>
      <c r="B197" s="315" t="s">
        <v>224</v>
      </c>
      <c r="C197" s="99"/>
      <c r="D197" s="183" t="s">
        <v>706</v>
      </c>
      <c r="E197" s="225">
        <f>'Food requirements'!$F$203*'Fats and oils'!E14*'Fats and oils'!K14*365/454</f>
        <v>0.28358963525833614</v>
      </c>
      <c r="F197" s="541" t="s">
        <v>68</v>
      </c>
      <c r="G197" s="321">
        <f>E197/Canola</f>
        <v>1.9472446865428824E-4</v>
      </c>
      <c r="H197" s="631" t="s">
        <v>68</v>
      </c>
      <c r="I197" s="631" t="s">
        <v>68</v>
      </c>
      <c r="J197" s="672" t="s">
        <v>1287</v>
      </c>
    </row>
    <row r="198" spans="1:10" s="308" customFormat="1" x14ac:dyDescent="0.15">
      <c r="A198" s="68" t="s">
        <v>8</v>
      </c>
      <c r="B198" s="315" t="s">
        <v>224</v>
      </c>
      <c r="C198" s="99"/>
      <c r="D198" s="183" t="s">
        <v>708</v>
      </c>
      <c r="E198" s="225">
        <f>'Food requirements'!$F$203*'Fats and oils'!E13*'Fats and oils'!K13*365/454</f>
        <v>0.40092335531613299</v>
      </c>
      <c r="F198" s="541" t="s">
        <v>68</v>
      </c>
      <c r="G198" s="321">
        <f>E198/Peanuts</f>
        <v>1.3286406496783849E-4</v>
      </c>
      <c r="H198" s="631" t="s">
        <v>68</v>
      </c>
      <c r="I198" s="631" t="s">
        <v>68</v>
      </c>
      <c r="J198" s="672" t="s">
        <v>1287</v>
      </c>
    </row>
    <row r="199" spans="1:10" x14ac:dyDescent="0.15">
      <c r="A199" s="68" t="s">
        <v>8</v>
      </c>
      <c r="B199" s="98" t="s">
        <v>348</v>
      </c>
      <c r="C199" s="86" t="s">
        <v>578</v>
      </c>
      <c r="D199" s="106" t="s">
        <v>632</v>
      </c>
      <c r="E199" s="225">
        <f>SUM('Food requirements'!I$197,'Food requirements'!I$204:I$209)</f>
        <v>145.25146827263856</v>
      </c>
      <c r="F199" s="541">
        <f>E199*'Livestock feed requirements'!K13*'Livestock feed requirements'!K22*'Livestock feed requirements'!K25</f>
        <v>30.861878268528702</v>
      </c>
      <c r="G199" s="631" t="s">
        <v>68</v>
      </c>
      <c r="H199" s="222">
        <f>F199/Alfalfa_hay</f>
        <v>4.6050008268287536E-3</v>
      </c>
      <c r="I199" s="631" t="s">
        <v>68</v>
      </c>
      <c r="J199" s="671"/>
    </row>
    <row r="200" spans="1:10" x14ac:dyDescent="0.15">
      <c r="A200" s="68" t="s">
        <v>8</v>
      </c>
      <c r="B200" s="98" t="s">
        <v>348</v>
      </c>
      <c r="C200" s="314" t="s">
        <v>1215</v>
      </c>
      <c r="D200" s="106" t="s">
        <v>630</v>
      </c>
      <c r="E200" s="225">
        <f>SUM('Food requirements'!I$197,'Food requirements'!I$204:I$209)</f>
        <v>145.25146827263856</v>
      </c>
      <c r="F200" s="541">
        <f>E200*'Livestock feed requirements'!H13*'Livestock feed requirements'!H22*'Livestock feed requirements'!H25</f>
        <v>38.943758727114925</v>
      </c>
      <c r="G200" s="631" t="s">
        <v>68</v>
      </c>
      <c r="H200" s="222">
        <f>F200/Hay_haylage_exlc_alfalfa</f>
        <v>1.0047409372320673E-2</v>
      </c>
      <c r="I200" s="631" t="s">
        <v>68</v>
      </c>
      <c r="J200" s="671"/>
    </row>
    <row r="201" spans="1:10" x14ac:dyDescent="0.15">
      <c r="A201" s="68" t="s">
        <v>8</v>
      </c>
      <c r="B201" s="98" t="s">
        <v>348</v>
      </c>
      <c r="C201" s="86" t="s">
        <v>342</v>
      </c>
      <c r="D201" s="106" t="s">
        <v>631</v>
      </c>
      <c r="E201" s="225">
        <f>SUM('Food requirements'!I$197,'Food requirements'!I$204:I$209)</f>
        <v>145.25146827263856</v>
      </c>
      <c r="F201" s="541">
        <f>E201*'Livestock feed requirements'!N13*'Livestock feed requirements'!N22*'Livestock feed requirements'!N25</f>
        <v>138.79241447047991</v>
      </c>
      <c r="G201" s="222">
        <f>F201/Corn_Silage</f>
        <v>4.0487868865367524E-3</v>
      </c>
      <c r="H201" s="631" t="s">
        <v>68</v>
      </c>
      <c r="I201" s="631" t="s">
        <v>68</v>
      </c>
      <c r="J201" s="671"/>
    </row>
    <row r="202" spans="1:10" x14ac:dyDescent="0.15">
      <c r="A202" s="68" t="s">
        <v>8</v>
      </c>
      <c r="B202" s="98" t="s">
        <v>348</v>
      </c>
      <c r="C202" s="86" t="s">
        <v>345</v>
      </c>
      <c r="D202" s="106" t="s">
        <v>631</v>
      </c>
      <c r="E202" s="225">
        <f>SUM('Food requirements'!I$197,'Food requirements'!I$204:I$209)</f>
        <v>145.25146827263856</v>
      </c>
      <c r="F202" s="541">
        <f>E202*'Livestock feed requirements'!B13*'Livestock feed requirements'!B22*'Livestock feed requirements'!B25</f>
        <v>20.406987782869525</v>
      </c>
      <c r="G202" s="222">
        <f>F202/Corn</f>
        <v>2.462989528325266E-3</v>
      </c>
      <c r="H202" s="631" t="s">
        <v>68</v>
      </c>
      <c r="I202" s="631" t="s">
        <v>68</v>
      </c>
      <c r="J202" s="671"/>
    </row>
    <row r="203" spans="1:10" x14ac:dyDescent="0.15">
      <c r="A203" s="166" t="s">
        <v>8</v>
      </c>
      <c r="B203" s="25" t="s">
        <v>348</v>
      </c>
      <c r="C203" s="58" t="s">
        <v>341</v>
      </c>
      <c r="D203" s="300" t="s">
        <v>634</v>
      </c>
      <c r="E203" s="291">
        <f>SUM('Food requirements'!I$197,'Food requirements'!I$204:I$209)</f>
        <v>145.25146827263856</v>
      </c>
      <c r="F203" s="656">
        <f>E203*'Livestock feed requirements'!E13*'Livestock feed requirements'!E22*'Livestock feed requirements'!E25</f>
        <v>13.83821950889916</v>
      </c>
      <c r="G203" s="301">
        <f>F203/Soybeans</f>
        <v>5.6743612390177727E-3</v>
      </c>
      <c r="H203" s="654" t="s">
        <v>68</v>
      </c>
      <c r="I203" s="654" t="s">
        <v>68</v>
      </c>
      <c r="J203" s="673"/>
    </row>
    <row r="204" spans="1:10" x14ac:dyDescent="0.15">
      <c r="A204" s="68" t="s">
        <v>9</v>
      </c>
      <c r="B204" s="315" t="s">
        <v>229</v>
      </c>
      <c r="C204" s="99" t="s">
        <v>63</v>
      </c>
      <c r="D204" s="86" t="s">
        <v>607</v>
      </c>
      <c r="E204" s="298">
        <f>'Food requirements'!I211</f>
        <v>102.61202064418407</v>
      </c>
      <c r="F204" s="631" t="s">
        <v>68</v>
      </c>
      <c r="G204" s="321">
        <f>E204/((Sugar_beet*0.604)+(Sugar_cane*(0.183+0.194+0.02)))</f>
        <v>1.8524757591192227E-3</v>
      </c>
      <c r="H204" s="631" t="s">
        <v>68</v>
      </c>
      <c r="I204" s="631" t="s">
        <v>68</v>
      </c>
      <c r="J204" s="309" t="s">
        <v>1330</v>
      </c>
    </row>
    <row r="205" spans="1:10" x14ac:dyDescent="0.15">
      <c r="A205" s="68" t="s">
        <v>9</v>
      </c>
      <c r="B205" s="98" t="s">
        <v>230</v>
      </c>
      <c r="C205" s="99" t="s">
        <v>63</v>
      </c>
      <c r="D205" s="106" t="s">
        <v>345</v>
      </c>
      <c r="E205" s="298">
        <f>'Food requirements'!I212</f>
        <v>27.319130020263756</v>
      </c>
      <c r="F205" s="631" t="s">
        <v>68</v>
      </c>
      <c r="G205" s="321">
        <f>E205/Corn</f>
        <v>3.2972397435034155E-3</v>
      </c>
      <c r="H205" s="631" t="s">
        <v>68</v>
      </c>
      <c r="I205" s="631" t="s">
        <v>68</v>
      </c>
      <c r="J205" s="671"/>
    </row>
    <row r="206" spans="1:10" x14ac:dyDescent="0.15">
      <c r="A206" s="68" t="s">
        <v>9</v>
      </c>
      <c r="B206" s="98" t="s">
        <v>231</v>
      </c>
      <c r="C206" s="99" t="s">
        <v>63</v>
      </c>
      <c r="D206" s="106" t="s">
        <v>345</v>
      </c>
      <c r="E206" s="298">
        <f>'Food requirements'!I213</f>
        <v>6.2933343007753404</v>
      </c>
      <c r="F206" s="631" t="s">
        <v>68</v>
      </c>
      <c r="G206" s="321">
        <f>E206/Corn</f>
        <v>7.5956415743393395E-4</v>
      </c>
      <c r="H206" s="631" t="s">
        <v>68</v>
      </c>
      <c r="I206" s="631" t="s">
        <v>68</v>
      </c>
      <c r="J206" s="671"/>
    </row>
    <row r="207" spans="1:10" x14ac:dyDescent="0.15">
      <c r="A207" s="68" t="s">
        <v>9</v>
      </c>
      <c r="B207" s="98" t="s">
        <v>232</v>
      </c>
      <c r="C207" s="99" t="s">
        <v>63</v>
      </c>
      <c r="D207" s="106" t="s">
        <v>345</v>
      </c>
      <c r="E207" s="298">
        <f>'Food requirements'!I214</f>
        <v>1.3607263630010498</v>
      </c>
      <c r="F207" s="631" t="s">
        <v>68</v>
      </c>
      <c r="G207" s="321">
        <f>E207/Corn</f>
        <v>1.6423074383378918E-4</v>
      </c>
      <c r="H207" s="631" t="s">
        <v>68</v>
      </c>
      <c r="I207" s="631" t="s">
        <v>68</v>
      </c>
      <c r="J207" s="671"/>
    </row>
    <row r="208" spans="1:10" x14ac:dyDescent="0.15">
      <c r="A208" s="68" t="s">
        <v>9</v>
      </c>
      <c r="B208" s="98" t="s">
        <v>233</v>
      </c>
      <c r="C208" s="99" t="s">
        <v>63</v>
      </c>
      <c r="D208" s="309" t="s">
        <v>629</v>
      </c>
      <c r="E208" s="298" t="e">
        <f>'Food requirements'!I215</f>
        <v>#VALUE!</v>
      </c>
      <c r="F208" s="631" t="s">
        <v>68</v>
      </c>
      <c r="G208" s="631" t="s">
        <v>68</v>
      </c>
      <c r="H208" s="631" t="s">
        <v>68</v>
      </c>
      <c r="I208" s="631" t="s">
        <v>68</v>
      </c>
      <c r="J208" s="672" t="s">
        <v>1284</v>
      </c>
    </row>
    <row r="209" spans="1:10" x14ac:dyDescent="0.15">
      <c r="A209" s="166" t="s">
        <v>9</v>
      </c>
      <c r="B209" s="25" t="s">
        <v>234</v>
      </c>
      <c r="C209" s="34" t="s">
        <v>63</v>
      </c>
      <c r="D209" s="300" t="s">
        <v>234</v>
      </c>
      <c r="E209" s="224">
        <f>'Food requirements'!I216</f>
        <v>0</v>
      </c>
      <c r="F209" s="654" t="s">
        <v>68</v>
      </c>
      <c r="G209" s="654" t="s">
        <v>68</v>
      </c>
      <c r="H209" s="654" t="s">
        <v>68</v>
      </c>
      <c r="I209" s="654" t="s">
        <v>68</v>
      </c>
      <c r="J209" s="675" t="s">
        <v>1285</v>
      </c>
    </row>
    <row r="211" spans="1:10" s="308" customFormat="1" x14ac:dyDescent="0.15">
      <c r="E211" s="216"/>
      <c r="F211" s="216"/>
      <c r="G211" s="641"/>
      <c r="H211" s="641"/>
      <c r="I211" s="641"/>
      <c r="J211" s="353"/>
    </row>
    <row r="212" spans="1:10" s="308" customFormat="1" x14ac:dyDescent="0.15">
      <c r="E212" s="216"/>
      <c r="F212" s="216"/>
      <c r="G212" s="352"/>
      <c r="H212" s="352"/>
      <c r="I212" s="352"/>
      <c r="J212" s="354"/>
    </row>
    <row r="213" spans="1:10" s="308" customFormat="1" x14ac:dyDescent="0.15">
      <c r="E213" s="202"/>
      <c r="F213" s="202"/>
      <c r="G213" s="352"/>
      <c r="H213" s="352"/>
      <c r="I213" s="352"/>
      <c r="J213" s="354"/>
    </row>
    <row r="214" spans="1:10" s="308" customFormat="1" x14ac:dyDescent="0.15">
      <c r="E214" s="202"/>
      <c r="F214" s="202"/>
      <c r="G214" s="352"/>
      <c r="H214" s="352"/>
      <c r="I214" s="352"/>
      <c r="J214" s="354"/>
    </row>
    <row r="215" spans="1:10" s="308" customFormat="1" x14ac:dyDescent="0.15">
      <c r="E215" s="202"/>
      <c r="F215" s="202"/>
      <c r="G215" s="352"/>
      <c r="H215" s="352"/>
      <c r="I215" s="352"/>
      <c r="J215" s="354"/>
    </row>
    <row r="216" spans="1:10" s="308" customFormat="1" x14ac:dyDescent="0.15">
      <c r="E216" s="202"/>
      <c r="F216" s="202"/>
      <c r="G216" s="352"/>
      <c r="H216" s="352"/>
      <c r="I216" s="352"/>
      <c r="J216" s="354"/>
    </row>
    <row r="217" spans="1:10" s="308" customFormat="1" x14ac:dyDescent="0.15">
      <c r="E217" s="202"/>
      <c r="F217" s="202"/>
      <c r="G217" s="352"/>
      <c r="H217" s="352"/>
      <c r="I217" s="352"/>
      <c r="J217" s="354"/>
    </row>
    <row r="218" spans="1:10" s="308" customFormat="1" x14ac:dyDescent="0.15">
      <c r="E218" s="216"/>
      <c r="F218" s="216"/>
      <c r="G218" s="352"/>
      <c r="H218" s="352"/>
      <c r="I218" s="352"/>
      <c r="J218" s="354"/>
    </row>
    <row r="219" spans="1:10" s="308" customFormat="1" x14ac:dyDescent="0.15">
      <c r="E219" s="216"/>
      <c r="F219" s="216"/>
      <c r="G219" s="352"/>
      <c r="H219" s="352"/>
      <c r="I219" s="352"/>
      <c r="J219" s="354"/>
    </row>
    <row r="220" spans="1:10" s="308" customFormat="1" x14ac:dyDescent="0.15">
      <c r="E220" s="216"/>
      <c r="F220" s="216"/>
      <c r="G220" s="352"/>
      <c r="H220" s="352"/>
      <c r="I220" s="352"/>
      <c r="J220" s="354"/>
    </row>
    <row r="221" spans="1:10" s="308" customFormat="1" x14ac:dyDescent="0.15">
      <c r="E221" s="216"/>
      <c r="F221" s="216"/>
      <c r="G221" s="352"/>
      <c r="H221" s="352"/>
      <c r="I221" s="352"/>
      <c r="J221" s="354"/>
    </row>
    <row r="222" spans="1:10" s="308" customFormat="1" x14ac:dyDescent="0.15">
      <c r="E222" s="202"/>
      <c r="F222" s="202"/>
      <c r="G222" s="352"/>
      <c r="H222" s="352"/>
      <c r="I222" s="352"/>
      <c r="J222" s="354"/>
    </row>
    <row r="223" spans="1:10" s="308" customFormat="1" x14ac:dyDescent="0.15">
      <c r="E223" s="202"/>
      <c r="F223" s="202"/>
      <c r="G223" s="352"/>
      <c r="H223" s="352"/>
      <c r="I223" s="352"/>
      <c r="J223" s="354"/>
    </row>
    <row r="224" spans="1:10" s="308" customFormat="1" x14ac:dyDescent="0.15">
      <c r="E224" s="202"/>
      <c r="F224" s="202"/>
      <c r="G224" s="352"/>
      <c r="H224" s="352"/>
      <c r="I224" s="352"/>
      <c r="J224" s="354"/>
    </row>
    <row r="225" spans="1:11" s="308" customFormat="1" x14ac:dyDescent="0.15">
      <c r="E225" s="216"/>
      <c r="F225" s="216"/>
      <c r="G225" s="352"/>
      <c r="H225" s="352"/>
      <c r="I225" s="352"/>
      <c r="J225" s="354"/>
    </row>
    <row r="226" spans="1:11" s="308" customFormat="1" x14ac:dyDescent="0.15">
      <c r="E226" s="202"/>
      <c r="F226" s="202"/>
      <c r="G226" s="352"/>
      <c r="H226" s="352"/>
      <c r="I226" s="352"/>
      <c r="J226" s="354"/>
    </row>
    <row r="227" spans="1:11" s="308" customFormat="1" x14ac:dyDescent="0.15">
      <c r="E227" s="202"/>
      <c r="F227" s="202"/>
      <c r="G227" s="352"/>
      <c r="H227" s="352"/>
      <c r="I227" s="352"/>
      <c r="J227" s="354"/>
    </row>
    <row r="228" spans="1:11" s="308" customFormat="1" x14ac:dyDescent="0.15">
      <c r="E228" s="202"/>
      <c r="F228" s="202"/>
      <c r="G228" s="352"/>
      <c r="H228" s="352"/>
      <c r="I228" s="352"/>
      <c r="J228" s="354"/>
    </row>
    <row r="229" spans="1:11" x14ac:dyDescent="0.15">
      <c r="E229" s="216"/>
      <c r="F229" s="216"/>
      <c r="G229" s="352"/>
      <c r="H229" s="352"/>
      <c r="I229" s="352"/>
      <c r="J229" s="354"/>
    </row>
    <row r="230" spans="1:11" x14ac:dyDescent="0.15">
      <c r="E230" s="216"/>
      <c r="F230" s="216"/>
      <c r="G230" s="352"/>
      <c r="H230" s="352"/>
      <c r="I230" s="352"/>
      <c r="J230" s="354"/>
    </row>
    <row r="231" spans="1:11" x14ac:dyDescent="0.15">
      <c r="E231" s="216"/>
      <c r="F231" s="216"/>
      <c r="G231" s="352"/>
      <c r="H231" s="352"/>
      <c r="I231" s="352"/>
      <c r="J231" s="354"/>
    </row>
    <row r="232" spans="1:11" s="308" customFormat="1" x14ac:dyDescent="0.15">
      <c r="E232" s="207"/>
      <c r="F232" s="207"/>
      <c r="G232" s="322"/>
      <c r="H232" s="322"/>
      <c r="I232" s="322"/>
      <c r="J232" s="354"/>
    </row>
    <row r="233" spans="1:11" x14ac:dyDescent="0.15">
      <c r="A233" s="459"/>
    </row>
    <row r="234" spans="1:11" x14ac:dyDescent="0.15">
      <c r="A234" s="310"/>
      <c r="E234" s="648"/>
      <c r="F234" s="648"/>
      <c r="G234" s="649"/>
      <c r="H234" s="649"/>
      <c r="I234" s="650"/>
      <c r="J234" s="650"/>
      <c r="K234" s="309"/>
    </row>
    <row r="235" spans="1:11" x14ac:dyDescent="0.15">
      <c r="A235" s="311"/>
      <c r="E235" s="106"/>
      <c r="F235" s="106"/>
      <c r="G235" s="321"/>
      <c r="H235" s="321"/>
      <c r="I235" s="651"/>
      <c r="J235" s="106"/>
      <c r="K235" s="195"/>
    </row>
    <row r="236" spans="1:11" x14ac:dyDescent="0.15">
      <c r="A236" s="311"/>
      <c r="E236" s="106"/>
      <c r="F236" s="106"/>
      <c r="G236" s="321"/>
      <c r="H236" s="321"/>
      <c r="I236" s="651"/>
      <c r="J236" s="106"/>
      <c r="K236" s="195"/>
    </row>
    <row r="237" spans="1:11" x14ac:dyDescent="0.15">
      <c r="E237" s="106"/>
      <c r="F237" s="106"/>
      <c r="G237" s="321"/>
      <c r="H237" s="321"/>
      <c r="I237" s="651"/>
      <c r="J237" s="106"/>
      <c r="K237" s="195"/>
    </row>
    <row r="238" spans="1:11" x14ac:dyDescent="0.15">
      <c r="E238" s="106"/>
      <c r="F238" s="106"/>
      <c r="G238" s="321"/>
      <c r="H238" s="321"/>
      <c r="I238" s="321"/>
      <c r="J238" s="195"/>
      <c r="K238" s="195"/>
    </row>
    <row r="239" spans="1:11" x14ac:dyDescent="0.15">
      <c r="E239" s="202"/>
      <c r="F239" s="202"/>
      <c r="G239" s="321"/>
      <c r="H239" s="321"/>
      <c r="I239" s="321"/>
      <c r="J239" s="195"/>
      <c r="K239" s="195"/>
    </row>
    <row r="240" spans="1:11" x14ac:dyDescent="0.15">
      <c r="E240" s="648"/>
      <c r="F240" s="648"/>
      <c r="G240" s="321"/>
      <c r="H240" s="321"/>
      <c r="I240" s="652"/>
      <c r="J240" s="183"/>
      <c r="K240" s="195"/>
    </row>
    <row r="241" spans="5:16" x14ac:dyDescent="0.15">
      <c r="E241" s="106"/>
      <c r="F241" s="106"/>
      <c r="G241" s="321"/>
      <c r="H241" s="321"/>
      <c r="I241" s="651"/>
      <c r="J241" s="106"/>
      <c r="K241" s="195"/>
    </row>
    <row r="242" spans="5:16" x14ac:dyDescent="0.15">
      <c r="E242" s="106"/>
      <c r="F242" s="106"/>
      <c r="G242" s="321"/>
      <c r="H242" s="321"/>
      <c r="I242" s="321"/>
      <c r="J242" s="195"/>
      <c r="K242" s="195"/>
    </row>
    <row r="243" spans="5:16" x14ac:dyDescent="0.15">
      <c r="E243" s="106"/>
      <c r="F243" s="106"/>
      <c r="G243" s="321"/>
      <c r="H243" s="321"/>
      <c r="I243" s="321"/>
      <c r="J243" s="195"/>
      <c r="K243" s="195"/>
    </row>
    <row r="244" spans="5:16" s="308" customFormat="1" x14ac:dyDescent="0.15">
      <c r="E244" s="653"/>
      <c r="F244" s="653"/>
      <c r="G244" s="653"/>
      <c r="H244" s="653"/>
      <c r="I244" s="651"/>
      <c r="J244" s="309"/>
      <c r="K244" s="195"/>
    </row>
    <row r="245" spans="5:16" s="308" customFormat="1" x14ac:dyDescent="0.15">
      <c r="E245" s="653"/>
      <c r="F245" s="653"/>
      <c r="G245" s="653"/>
      <c r="H245" s="653"/>
      <c r="I245" s="321"/>
      <c r="J245" s="195"/>
      <c r="K245" s="195"/>
    </row>
    <row r="246" spans="5:16" x14ac:dyDescent="0.15">
      <c r="E246" s="106"/>
      <c r="F246" s="106"/>
      <c r="G246" s="651"/>
      <c r="H246" s="651"/>
      <c r="I246" s="651"/>
      <c r="J246" s="195"/>
      <c r="K246" s="195"/>
    </row>
    <row r="247" spans="5:16" x14ac:dyDescent="0.15">
      <c r="E247" s="106"/>
      <c r="F247" s="106"/>
      <c r="G247" s="321"/>
      <c r="H247" s="321"/>
      <c r="I247" s="321"/>
      <c r="J247" s="195"/>
      <c r="K247" s="195"/>
    </row>
    <row r="248" spans="5:16" x14ac:dyDescent="0.15">
      <c r="E248" s="316"/>
      <c r="G248" s="319"/>
    </row>
    <row r="249" spans="5:16" s="308" customFormat="1" x14ac:dyDescent="0.15">
      <c r="E249" s="640"/>
      <c r="F249" s="640"/>
      <c r="G249" s="641"/>
      <c r="H249" s="641"/>
      <c r="I249" s="641"/>
      <c r="J249" s="353"/>
    </row>
    <row r="250" spans="5:16" s="308" customFormat="1" x14ac:dyDescent="0.15">
      <c r="E250" s="323"/>
      <c r="F250" s="323"/>
      <c r="G250" s="327"/>
      <c r="H250" s="327"/>
      <c r="I250" s="327"/>
      <c r="J250" s="97"/>
    </row>
    <row r="251" spans="5:16" s="308" customFormat="1" x14ac:dyDescent="0.15">
      <c r="E251" s="323"/>
      <c r="F251" s="323"/>
      <c r="G251" s="327"/>
      <c r="H251" s="327"/>
      <c r="I251" s="327"/>
      <c r="J251" s="642"/>
    </row>
    <row r="252" spans="5:16" s="308" customFormat="1" x14ac:dyDescent="0.15">
      <c r="E252" s="286"/>
      <c r="F252" s="286"/>
      <c r="G252" s="327"/>
      <c r="H252" s="327"/>
      <c r="I252" s="327"/>
      <c r="J252" s="310"/>
    </row>
    <row r="253" spans="5:16" s="308" customFormat="1" x14ac:dyDescent="0.15">
      <c r="E253" s="286"/>
      <c r="F253" s="286"/>
      <c r="G253" s="327"/>
      <c r="H253" s="327"/>
      <c r="I253" s="327"/>
      <c r="J253" s="310"/>
    </row>
    <row r="254" spans="5:16" x14ac:dyDescent="0.15">
      <c r="E254" s="643"/>
      <c r="F254" s="643"/>
      <c r="G254" s="327"/>
      <c r="H254" s="327"/>
      <c r="I254" s="327"/>
      <c r="K254" s="310"/>
      <c r="L254" s="310"/>
      <c r="M254" s="310"/>
      <c r="N254" s="310"/>
      <c r="O254" s="310"/>
      <c r="P254" s="310"/>
    </row>
    <row r="255" spans="5:16" s="308" customFormat="1" x14ac:dyDescent="0.15">
      <c r="E255" s="644"/>
      <c r="F255" s="644"/>
      <c r="G255" s="327"/>
      <c r="H255" s="327"/>
      <c r="I255" s="327"/>
      <c r="J255" s="310"/>
      <c r="K255" s="310"/>
      <c r="L255" s="310"/>
      <c r="M255" s="310"/>
      <c r="N255" s="310"/>
      <c r="O255" s="310"/>
      <c r="P255" s="310"/>
    </row>
    <row r="256" spans="5:16" x14ac:dyDescent="0.15">
      <c r="E256" s="284"/>
      <c r="F256" s="284"/>
      <c r="G256" s="645"/>
      <c r="H256" s="645"/>
      <c r="I256" s="645"/>
      <c r="K256" s="310"/>
      <c r="L256" s="310"/>
      <c r="M256" s="310"/>
      <c r="N256" s="310"/>
      <c r="O256" s="310"/>
      <c r="P256" s="310"/>
    </row>
    <row r="257" spans="5:16" x14ac:dyDescent="0.15">
      <c r="E257" s="284"/>
      <c r="F257" s="284"/>
      <c r="G257" s="376"/>
      <c r="H257" s="376"/>
      <c r="I257" s="598"/>
      <c r="K257" s="310"/>
      <c r="L257" s="310"/>
      <c r="M257" s="310"/>
      <c r="N257" s="310"/>
      <c r="O257" s="310"/>
      <c r="P257" s="310"/>
    </row>
    <row r="258" spans="5:16" x14ac:dyDescent="0.15">
      <c r="E258" s="284"/>
      <c r="F258" s="284"/>
      <c r="G258" s="376"/>
      <c r="H258" s="376"/>
      <c r="I258" s="598"/>
      <c r="K258" s="310"/>
      <c r="L258" s="310"/>
      <c r="M258" s="310"/>
      <c r="N258" s="310"/>
      <c r="O258" s="310"/>
      <c r="P258" s="310"/>
    </row>
    <row r="259" spans="5:16" x14ac:dyDescent="0.15">
      <c r="E259" s="284"/>
      <c r="F259" s="284"/>
      <c r="G259" s="376"/>
      <c r="H259" s="376"/>
      <c r="I259" s="598"/>
      <c r="K259" s="310"/>
      <c r="L259" s="310"/>
      <c r="M259" s="310"/>
      <c r="N259" s="310"/>
      <c r="O259" s="310"/>
      <c r="P259" s="310"/>
    </row>
    <row r="260" spans="5:16" x14ac:dyDescent="0.15">
      <c r="E260" s="284"/>
      <c r="F260" s="284"/>
      <c r="G260" s="376"/>
      <c r="H260" s="376"/>
      <c r="I260" s="376"/>
      <c r="K260" s="310"/>
      <c r="L260" s="310"/>
      <c r="M260" s="310"/>
      <c r="N260" s="310"/>
      <c r="O260" s="310"/>
      <c r="P260" s="310"/>
    </row>
    <row r="261" spans="5:16" x14ac:dyDescent="0.15">
      <c r="E261" s="278"/>
      <c r="F261" s="278"/>
      <c r="G261" s="376"/>
      <c r="H261" s="376"/>
      <c r="I261" s="376"/>
      <c r="K261" s="310"/>
      <c r="L261" s="310"/>
      <c r="M261" s="310"/>
      <c r="N261" s="310"/>
      <c r="O261" s="310"/>
      <c r="P261" s="310"/>
    </row>
    <row r="262" spans="5:16" x14ac:dyDescent="0.15">
      <c r="E262" s="284"/>
      <c r="F262" s="284"/>
      <c r="G262" s="646"/>
      <c r="H262" s="646"/>
      <c r="I262" s="598"/>
      <c r="K262" s="310"/>
      <c r="L262" s="310"/>
      <c r="M262" s="310"/>
      <c r="N262" s="310"/>
      <c r="O262" s="310"/>
      <c r="P262" s="310"/>
    </row>
    <row r="263" spans="5:16" x14ac:dyDescent="0.15">
      <c r="E263" s="284"/>
      <c r="F263" s="284"/>
      <c r="G263" s="376"/>
      <c r="H263" s="376"/>
      <c r="I263" s="599"/>
    </row>
    <row r="264" spans="5:16" x14ac:dyDescent="0.15">
      <c r="E264" s="286"/>
      <c r="F264" s="286"/>
      <c r="G264" s="376"/>
      <c r="H264" s="376"/>
      <c r="I264" s="376"/>
    </row>
    <row r="265" spans="5:16" x14ac:dyDescent="0.15">
      <c r="E265" s="284"/>
      <c r="F265" s="284"/>
      <c r="G265" s="647"/>
      <c r="H265" s="647"/>
      <c r="I265" s="598"/>
    </row>
    <row r="266" spans="5:16" x14ac:dyDescent="0.15">
      <c r="E266" s="284"/>
      <c r="F266" s="284"/>
      <c r="G266" s="647"/>
      <c r="H266" s="647"/>
      <c r="I266" s="376"/>
    </row>
    <row r="267" spans="5:16" x14ac:dyDescent="0.15">
      <c r="E267" s="323"/>
      <c r="F267" s="323"/>
      <c r="G267" s="376"/>
      <c r="H267" s="376"/>
      <c r="I267" s="376"/>
    </row>
  </sheetData>
  <mergeCells count="1">
    <mergeCell ref="A2:J4"/>
  </mergeCells>
  <pageMargins left="0.7" right="0.7" top="0.75" bottom="0.75" header="0.3" footer="0.3"/>
  <pageSetup scale="28"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topLeftCell="A57" workbookViewId="0">
      <selection activeCell="C90" sqref="C90"/>
    </sheetView>
  </sheetViews>
  <sheetFormatPr baseColWidth="10" defaultColWidth="8.83203125" defaultRowHeight="13" x14ac:dyDescent="0.15"/>
  <cols>
    <col min="1" max="1" width="39.1640625" bestFit="1" customWidth="1"/>
    <col min="2" max="7" width="11.83203125" customWidth="1"/>
  </cols>
  <sheetData>
    <row r="1" spans="1:8" x14ac:dyDescent="0.15">
      <c r="A1" s="1" t="s">
        <v>1109</v>
      </c>
    </row>
    <row r="2" spans="1:8" x14ac:dyDescent="0.15">
      <c r="A2" s="935" t="s">
        <v>1110</v>
      </c>
      <c r="B2" s="936"/>
      <c r="C2" s="936"/>
      <c r="D2" s="936"/>
      <c r="E2" s="936"/>
      <c r="F2" s="936"/>
      <c r="G2" s="936"/>
      <c r="H2" s="937"/>
    </row>
    <row r="3" spans="1:8" s="308" customFormat="1" x14ac:dyDescent="0.15">
      <c r="A3" s="938"/>
      <c r="B3" s="939"/>
      <c r="C3" s="939"/>
      <c r="D3" s="939"/>
      <c r="E3" s="939"/>
      <c r="F3" s="939"/>
      <c r="G3" s="939"/>
      <c r="H3" s="940"/>
    </row>
    <row r="4" spans="1:8" s="308" customFormat="1" x14ac:dyDescent="0.15">
      <c r="A4" s="941"/>
      <c r="B4" s="942"/>
      <c r="C4" s="942"/>
      <c r="D4" s="942"/>
      <c r="E4" s="942"/>
      <c r="F4" s="942"/>
      <c r="G4" s="942"/>
      <c r="H4" s="943"/>
    </row>
    <row r="6" spans="1:8" s="308" customFormat="1" x14ac:dyDescent="0.15">
      <c r="A6" s="944" t="s">
        <v>1122</v>
      </c>
      <c r="B6" s="945"/>
      <c r="C6" s="945"/>
      <c r="D6" s="945"/>
      <c r="E6" s="945"/>
      <c r="F6" s="945"/>
      <c r="G6" s="946"/>
    </row>
    <row r="7" spans="1:8" ht="65" x14ac:dyDescent="0.15">
      <c r="A7" s="68" t="s">
        <v>1115</v>
      </c>
      <c r="B7" s="556" t="s">
        <v>1116</v>
      </c>
      <c r="C7" s="543" t="s">
        <v>1117</v>
      </c>
      <c r="D7" s="543" t="s">
        <v>1112</v>
      </c>
      <c r="E7" s="543" t="s">
        <v>1147</v>
      </c>
      <c r="F7" s="543" t="s">
        <v>1113</v>
      </c>
      <c r="G7" s="544" t="s">
        <v>1127</v>
      </c>
    </row>
    <row r="8" spans="1:8" x14ac:dyDescent="0.15">
      <c r="A8" s="553" t="s">
        <v>1111</v>
      </c>
      <c r="B8" s="548">
        <f>'Food requirements'!I11</f>
        <v>14.885685600609106</v>
      </c>
      <c r="C8" s="549">
        <f>B8*'Fats and oils'!$J$12</f>
        <v>0.42530530287454588</v>
      </c>
      <c r="D8" s="549">
        <f>0.266*B8</f>
        <v>3.9595923697620226</v>
      </c>
      <c r="E8" s="550">
        <f>(0.4*0.9*0.607)+(0.6*0.9*0.23)</f>
        <v>0.34272000000000002</v>
      </c>
      <c r="F8" s="549">
        <f>E8*D8</f>
        <v>1.3570314969648405</v>
      </c>
      <c r="G8" s="551">
        <f>'Land requirements'!G11</f>
        <v>1.7966045820353321E-3</v>
      </c>
    </row>
    <row r="9" spans="1:8" x14ac:dyDescent="0.15">
      <c r="A9" s="540" t="s">
        <v>230</v>
      </c>
      <c r="B9" s="552">
        <f>'Food requirements'!I212</f>
        <v>27.319130020263756</v>
      </c>
      <c r="C9" s="103">
        <f>B9*'Fats and oils'!$J$12</f>
        <v>0.78054657200753585</v>
      </c>
      <c r="D9" s="103">
        <f>0.266*B9</f>
        <v>7.2668885853901592</v>
      </c>
      <c r="E9" s="545">
        <f>(0.4*0.9*0.607)+(0.6*0.9*0.23)</f>
        <v>0.34272000000000002</v>
      </c>
      <c r="F9" s="103">
        <f>E9*D9</f>
        <v>2.4905080559849155</v>
      </c>
      <c r="G9" s="546">
        <f>'Land requirements'!G205</f>
        <v>3.2972397435034155E-3</v>
      </c>
    </row>
    <row r="10" spans="1:8" x14ac:dyDescent="0.15">
      <c r="A10" s="540" t="s">
        <v>231</v>
      </c>
      <c r="B10" s="552">
        <f>'Food requirements'!I213</f>
        <v>6.2933343007753404</v>
      </c>
      <c r="C10" s="103">
        <f>B10*'Fats and oils'!$J$12</f>
        <v>0.179809551450724</v>
      </c>
      <c r="D10" s="103">
        <f>0.266*B10</f>
        <v>1.6740269240062406</v>
      </c>
      <c r="E10" s="545">
        <f>(0.4*0.9*0.607)+(0.6*0.9*0.23)</f>
        <v>0.34272000000000002</v>
      </c>
      <c r="F10" s="103">
        <f>E10*D10</f>
        <v>0.57372250739541886</v>
      </c>
      <c r="G10" s="546">
        <f>'Land requirements'!G206</f>
        <v>7.5956415743393395E-4</v>
      </c>
    </row>
    <row r="11" spans="1:8" x14ac:dyDescent="0.15">
      <c r="A11" s="540" t="s">
        <v>232</v>
      </c>
      <c r="B11" s="552">
        <f>'Food requirements'!I214</f>
        <v>1.3607263630010498</v>
      </c>
      <c r="C11" s="103">
        <f>B11*'Fats and oils'!$J$12</f>
        <v>3.8877896085744275E-2</v>
      </c>
      <c r="D11" s="103">
        <f>0.266*B11</f>
        <v>0.36195321255827928</v>
      </c>
      <c r="E11" s="545">
        <f>(0.4*0.9*0.607)+(0.6*0.9*0.23)</f>
        <v>0.34272000000000002</v>
      </c>
      <c r="F11" s="103">
        <f>E11*D11</f>
        <v>0.12404860500797349</v>
      </c>
      <c r="G11" s="546">
        <f>'Land requirements'!G207</f>
        <v>1.6423074383378918E-4</v>
      </c>
    </row>
    <row r="12" spans="1:8" x14ac:dyDescent="0.15">
      <c r="A12" s="560" t="s">
        <v>1141</v>
      </c>
      <c r="B12" s="564">
        <f>SUM(B8:B11)</f>
        <v>49.858876284649256</v>
      </c>
      <c r="C12" s="565">
        <f>SUM(C8:C11)</f>
        <v>1.4245393224185501</v>
      </c>
      <c r="D12" s="565">
        <f>SUM(D8:D11)</f>
        <v>13.262461091716702</v>
      </c>
      <c r="E12" s="90"/>
      <c r="F12" s="565">
        <f>SUM(F8:F11)</f>
        <v>4.5453106653531483</v>
      </c>
      <c r="G12" s="566">
        <f>SUM(G8:G11)</f>
        <v>6.0176392268064703E-3</v>
      </c>
    </row>
    <row r="13" spans="1:8" s="308" customFormat="1" ht="14.25" customHeight="1" x14ac:dyDescent="0.15">
      <c r="A13" s="947" t="s">
        <v>1146</v>
      </c>
      <c r="B13" s="948"/>
      <c r="C13" s="948"/>
      <c r="D13" s="948"/>
      <c r="E13" s="948"/>
      <c r="F13" s="948"/>
      <c r="G13" s="949"/>
    </row>
    <row r="14" spans="1:8" s="308" customFormat="1" x14ac:dyDescent="0.15">
      <c r="A14" s="950"/>
      <c r="B14" s="951"/>
      <c r="C14" s="951"/>
      <c r="D14" s="951"/>
      <c r="E14" s="951"/>
      <c r="F14" s="951"/>
      <c r="G14" s="952"/>
    </row>
    <row r="15" spans="1:8" s="308" customFormat="1" x14ac:dyDescent="0.15">
      <c r="A15" s="950"/>
      <c r="B15" s="951"/>
      <c r="C15" s="951"/>
      <c r="D15" s="951"/>
      <c r="E15" s="951"/>
      <c r="F15" s="951"/>
      <c r="G15" s="952"/>
    </row>
    <row r="16" spans="1:8" s="308" customFormat="1" x14ac:dyDescent="0.15">
      <c r="A16" s="950"/>
      <c r="B16" s="951"/>
      <c r="C16" s="951"/>
      <c r="D16" s="951"/>
      <c r="E16" s="951"/>
      <c r="F16" s="951"/>
      <c r="G16" s="952"/>
    </row>
    <row r="17" spans="1:8" s="308" customFormat="1" x14ac:dyDescent="0.15">
      <c r="A17" s="950"/>
      <c r="B17" s="951"/>
      <c r="C17" s="951"/>
      <c r="D17" s="951"/>
      <c r="E17" s="951"/>
      <c r="F17" s="951"/>
      <c r="G17" s="952"/>
    </row>
    <row r="18" spans="1:8" s="308" customFormat="1" x14ac:dyDescent="0.15">
      <c r="A18" s="953"/>
      <c r="B18" s="954"/>
      <c r="C18" s="954"/>
      <c r="D18" s="954"/>
      <c r="E18" s="954"/>
      <c r="F18" s="954"/>
      <c r="G18" s="955"/>
    </row>
    <row r="20" spans="1:8" x14ac:dyDescent="0.15">
      <c r="A20" s="561" t="s">
        <v>1121</v>
      </c>
      <c r="B20" s="562"/>
      <c r="C20" s="562"/>
      <c r="D20" s="562"/>
      <c r="E20" s="562"/>
      <c r="F20" s="562"/>
      <c r="G20" s="563"/>
    </row>
    <row r="21" spans="1:8" ht="65" x14ac:dyDescent="0.15">
      <c r="A21" s="560" t="s">
        <v>1115</v>
      </c>
      <c r="B21" s="556" t="s">
        <v>1118</v>
      </c>
      <c r="C21" s="559" t="s">
        <v>1119</v>
      </c>
      <c r="D21" s="559" t="s">
        <v>1148</v>
      </c>
      <c r="E21" s="559" t="s">
        <v>1161</v>
      </c>
      <c r="F21" s="559" t="s">
        <v>1113</v>
      </c>
      <c r="G21" s="555" t="s">
        <v>1127</v>
      </c>
    </row>
    <row r="22" spans="1:8" x14ac:dyDescent="0.15">
      <c r="A22" s="553" t="s">
        <v>1143</v>
      </c>
      <c r="B22" s="558">
        <f>SUM('Land requirements'!E192,'Land requirements'!E197)</f>
        <v>4.0532434137314857</v>
      </c>
      <c r="C22" s="549">
        <f>B22*'Fats and oils'!J14</f>
        <v>1.6342677444165348</v>
      </c>
      <c r="D22" s="549">
        <f>B22*(1-'Fats and oils'!J14)</f>
        <v>2.4189756693149507</v>
      </c>
      <c r="E22" s="550">
        <f>0.9071*0.3996</f>
        <v>0.36247716000000002</v>
      </c>
      <c r="F22" s="549">
        <f>E22*D22</f>
        <v>0.87682343072238256</v>
      </c>
      <c r="G22" s="551">
        <f>'Land requirements'!G192+'Land requirements'!G197</f>
        <v>2.7831259395160019E-3</v>
      </c>
    </row>
    <row r="23" spans="1:8" s="308" customFormat="1" x14ac:dyDescent="0.15">
      <c r="A23" s="540" t="s">
        <v>403</v>
      </c>
      <c r="B23" s="173">
        <f>'Land requirements'!E193</f>
        <v>5.0572197332982798</v>
      </c>
      <c r="C23" s="103">
        <f>B23*'Fats and oils'!J15</f>
        <v>0.76869739946133853</v>
      </c>
      <c r="D23" s="103">
        <v>0</v>
      </c>
      <c r="E23" s="557" t="s">
        <v>1145</v>
      </c>
      <c r="F23" s="103">
        <v>0</v>
      </c>
      <c r="G23" s="546">
        <f>'Land requirements'!G193</f>
        <v>7.9156482782060018E-4</v>
      </c>
    </row>
    <row r="24" spans="1:8" x14ac:dyDescent="0.15">
      <c r="A24" s="540" t="s">
        <v>1144</v>
      </c>
      <c r="B24" s="173">
        <f>SUM('Land requirements'!E198)</f>
        <v>0.40092335531613299</v>
      </c>
      <c r="C24" s="103">
        <f>B24*'Fats and oils'!J13</f>
        <v>0.11434334093616114</v>
      </c>
      <c r="D24" s="103">
        <f>B24*0.425</f>
        <v>0.17039242600935653</v>
      </c>
      <c r="E24" s="545">
        <f>0.9422*0.4371</f>
        <v>0.41183562000000001</v>
      </c>
      <c r="F24" s="103">
        <f>E24*D24</f>
        <v>7.0173670408867475E-2</v>
      </c>
      <c r="G24" s="546">
        <f>'Land requirements'!G198</f>
        <v>1.3286406496783849E-4</v>
      </c>
    </row>
    <row r="25" spans="1:8" x14ac:dyDescent="0.15">
      <c r="A25" s="540" t="s">
        <v>1142</v>
      </c>
      <c r="B25" s="173">
        <f>SUM('Land requirements'!E178,'Land requirements'!E184,'Land requirements'!E189,'Land requirements'!E194)</f>
        <v>109.71100824190776</v>
      </c>
      <c r="C25" s="103">
        <f>B25*'Fats and oils'!J10</f>
        <v>19.52855946705958</v>
      </c>
      <c r="D25" s="103">
        <f>B25*0.795</f>
        <v>87.220251552316682</v>
      </c>
      <c r="E25" s="545">
        <f>0.9008*0.5134</f>
        <v>0.46247072</v>
      </c>
      <c r="F25" s="103">
        <f>E25*D25</f>
        <v>40.336812533981011</v>
      </c>
      <c r="G25" s="546">
        <f>'Land requirements'!G178+'Land requirements'!G184+'Land requirements'!G189+'Land requirements'!G194</f>
        <v>4.4986993612949576E-2</v>
      </c>
    </row>
    <row r="26" spans="1:8" s="308" customFormat="1" x14ac:dyDescent="0.15">
      <c r="A26" s="560" t="s">
        <v>1120</v>
      </c>
      <c r="B26" s="567"/>
      <c r="C26" s="565">
        <f>SUM(C22:C25)</f>
        <v>22.045867951873614</v>
      </c>
      <c r="D26" s="90"/>
      <c r="E26" s="90"/>
      <c r="F26" s="565">
        <f>SUM(F22:F25)</f>
        <v>41.283809635112263</v>
      </c>
      <c r="G26" s="566">
        <f>SUM(G22:G25)</f>
        <v>4.8694548445254018E-2</v>
      </c>
    </row>
    <row r="27" spans="1:8" s="308" customFormat="1" ht="14.25" customHeight="1" x14ac:dyDescent="0.15">
      <c r="A27" s="956" t="s">
        <v>1149</v>
      </c>
      <c r="B27" s="883"/>
      <c r="C27" s="883"/>
      <c r="D27" s="883"/>
      <c r="E27" s="883"/>
      <c r="F27" s="883"/>
      <c r="G27" s="957"/>
    </row>
    <row r="28" spans="1:8" s="308" customFormat="1" x14ac:dyDescent="0.15">
      <c r="A28" s="956"/>
      <c r="B28" s="883"/>
      <c r="C28" s="883"/>
      <c r="D28" s="883"/>
      <c r="E28" s="883"/>
      <c r="F28" s="883"/>
      <c r="G28" s="957"/>
    </row>
    <row r="29" spans="1:8" s="308" customFormat="1" x14ac:dyDescent="0.15">
      <c r="A29" s="956"/>
      <c r="B29" s="883"/>
      <c r="C29" s="883"/>
      <c r="D29" s="883"/>
      <c r="E29" s="883"/>
      <c r="F29" s="883"/>
      <c r="G29" s="957"/>
    </row>
    <row r="30" spans="1:8" s="308" customFormat="1" ht="15" x14ac:dyDescent="0.15">
      <c r="A30" s="166" t="s">
        <v>1150</v>
      </c>
      <c r="B30" s="8"/>
      <c r="C30" s="67"/>
      <c r="D30" s="8"/>
      <c r="E30" s="8"/>
      <c r="F30" s="67"/>
      <c r="G30" s="66"/>
    </row>
    <row r="32" spans="1:8" s="308" customFormat="1" x14ac:dyDescent="0.15">
      <c r="A32" s="561" t="s">
        <v>1123</v>
      </c>
      <c r="B32" s="562"/>
      <c r="C32" s="562"/>
      <c r="D32" s="562"/>
      <c r="E32" s="562"/>
      <c r="F32" s="562"/>
      <c r="G32" s="562"/>
      <c r="H32" s="563"/>
    </row>
    <row r="33" spans="1:13" ht="54" x14ac:dyDescent="0.15">
      <c r="A33" s="560" t="s">
        <v>1124</v>
      </c>
      <c r="B33" s="556" t="s">
        <v>1114</v>
      </c>
      <c r="C33" s="559" t="s">
        <v>1125</v>
      </c>
      <c r="D33" s="559" t="s">
        <v>1162</v>
      </c>
      <c r="E33" s="559" t="s">
        <v>1161</v>
      </c>
      <c r="F33" s="559" t="s">
        <v>1113</v>
      </c>
      <c r="G33" s="559" t="s">
        <v>1127</v>
      </c>
      <c r="H33" s="555" t="s">
        <v>1163</v>
      </c>
    </row>
    <row r="34" spans="1:13" s="308" customFormat="1" x14ac:dyDescent="0.15">
      <c r="A34" s="68" t="s">
        <v>1152</v>
      </c>
      <c r="B34" s="574">
        <f>'Land requirements'!F145</f>
        <v>8.9736900297950744</v>
      </c>
      <c r="C34" s="575">
        <f>B34*'Fats and oils'!$J$10</f>
        <v>1.5973168253035233</v>
      </c>
      <c r="D34" s="575">
        <f>0.795*B34</f>
        <v>7.1340835736870849</v>
      </c>
      <c r="E34" s="550">
        <f t="shared" ref="E34:E41" si="0">0.9008*0.5134</f>
        <v>0.46247072</v>
      </c>
      <c r="F34" s="575">
        <f>E34*D34</f>
        <v>3.2993047668632394</v>
      </c>
      <c r="G34" s="576">
        <f>'Land requirements'!G145</f>
        <v>3.6796611618484243E-3</v>
      </c>
      <c r="H34" s="104">
        <f>'Processing conversions'!G200*'Food requirements'!I173*Percent__Dedicated__beef</f>
        <v>5.645358173019007</v>
      </c>
    </row>
    <row r="35" spans="1:13" x14ac:dyDescent="0.15">
      <c r="A35" s="68" t="s">
        <v>1153</v>
      </c>
      <c r="B35" s="577">
        <f>'Land requirements'!F148</f>
        <v>4.1084930339061883</v>
      </c>
      <c r="C35" s="568">
        <f>B35*'Fats and oils'!$J$10</f>
        <v>0.73131176003530152</v>
      </c>
      <c r="D35" s="568">
        <f t="shared" ref="D35:D41" si="1">0.795*B35</f>
        <v>3.2662519619554198</v>
      </c>
      <c r="E35" s="545">
        <f t="shared" si="0"/>
        <v>0.46247072</v>
      </c>
      <c r="F35" s="568">
        <f t="shared" ref="F35:F41" si="2">E35*D35</f>
        <v>1.5105458965469356</v>
      </c>
      <c r="G35" s="570">
        <f>'Land requirements'!G148</f>
        <v>1.6846873694538163E-3</v>
      </c>
      <c r="H35" s="65">
        <f>'Processing conversions'!G200*'Food requirements'!I173*Percent__dairy__beef</f>
        <v>1.3469248382549373</v>
      </c>
    </row>
    <row r="36" spans="1:13" x14ac:dyDescent="0.15">
      <c r="A36" s="68" t="s">
        <v>15</v>
      </c>
      <c r="B36" s="577">
        <f>'Land requirements'!F157</f>
        <v>47.864230246909372</v>
      </c>
      <c r="C36" s="568">
        <f>B36*'Fats and oils'!$J$10</f>
        <v>8.5198329839498683</v>
      </c>
      <c r="D36" s="568">
        <f t="shared" si="1"/>
        <v>38.05206304629295</v>
      </c>
      <c r="E36" s="545">
        <f t="shared" si="0"/>
        <v>0.46247072</v>
      </c>
      <c r="F36" s="568">
        <f t="shared" si="2"/>
        <v>17.597964994504494</v>
      </c>
      <c r="G36" s="570">
        <f>'Land requirements'!G157</f>
        <v>1.962672529322311E-2</v>
      </c>
      <c r="H36" s="42" t="s">
        <v>1145</v>
      </c>
    </row>
    <row r="37" spans="1:13" s="308" customFormat="1" x14ac:dyDescent="0.15">
      <c r="A37" s="68" t="s">
        <v>7</v>
      </c>
      <c r="B37" s="577">
        <f>'Land requirements'!F137</f>
        <v>34.259759562801413</v>
      </c>
      <c r="C37" s="568">
        <f>B37*'Fats and oils'!$J$10</f>
        <v>6.0982372021786508</v>
      </c>
      <c r="D37" s="568">
        <f t="shared" si="1"/>
        <v>27.236508852427125</v>
      </c>
      <c r="E37" s="545">
        <f t="shared" si="0"/>
        <v>0.46247072</v>
      </c>
      <c r="F37" s="568">
        <f t="shared" si="2"/>
        <v>12.596087859268346</v>
      </c>
      <c r="G37" s="570">
        <f>'Land requirements'!G137</f>
        <v>1.4048212748483396E-2</v>
      </c>
      <c r="H37" s="42" t="s">
        <v>1145</v>
      </c>
    </row>
    <row r="38" spans="1:13" x14ac:dyDescent="0.15">
      <c r="A38" s="68" t="s">
        <v>1154</v>
      </c>
      <c r="B38" s="577">
        <f>'Land requirements'!F203</f>
        <v>13.83821950889916</v>
      </c>
      <c r="C38" s="568">
        <f>B38*'Fats and oils'!$J$10</f>
        <v>2.4632030725840504</v>
      </c>
      <c r="D38" s="568">
        <f t="shared" si="1"/>
        <v>11.001384509574832</v>
      </c>
      <c r="E38" s="545">
        <f t="shared" si="0"/>
        <v>0.46247072</v>
      </c>
      <c r="F38" s="568">
        <f t="shared" si="2"/>
        <v>5.0878182151399196</v>
      </c>
      <c r="G38" s="570">
        <f>'Land requirements'!G203</f>
        <v>5.6743612390177727E-3</v>
      </c>
      <c r="H38" s="42" t="s">
        <v>1145</v>
      </c>
    </row>
    <row r="39" spans="1:13" x14ac:dyDescent="0.15">
      <c r="A39" s="68" t="s">
        <v>17</v>
      </c>
      <c r="B39" s="577">
        <f>'Land requirements'!F168</f>
        <v>24.934481640414472</v>
      </c>
      <c r="C39" s="568">
        <f>B39*'Fats and oils'!$J$10</f>
        <v>4.4383377319937756</v>
      </c>
      <c r="D39" s="568">
        <f t="shared" si="1"/>
        <v>19.822912904129506</v>
      </c>
      <c r="E39" s="545">
        <f t="shared" si="0"/>
        <v>0.46247072</v>
      </c>
      <c r="F39" s="568">
        <f t="shared" si="2"/>
        <v>9.1675168032700629</v>
      </c>
      <c r="G39" s="570">
        <f>'Land requirements'!G168</f>
        <v>1.0224382988315784E-2</v>
      </c>
      <c r="H39" s="42" t="s">
        <v>1145</v>
      </c>
      <c r="M39" s="15"/>
    </row>
    <row r="40" spans="1:13" x14ac:dyDescent="0.15">
      <c r="A40" s="68" t="s">
        <v>16</v>
      </c>
      <c r="B40" s="577">
        <f>'Land requirements'!F152</f>
        <v>41.180125729128655</v>
      </c>
      <c r="C40" s="568">
        <f>B40*'Fats and oils'!$J$10</f>
        <v>7.3300623797849003</v>
      </c>
      <c r="D40" s="568">
        <f t="shared" si="1"/>
        <v>32.738199954657283</v>
      </c>
      <c r="E40" s="545">
        <f t="shared" si="0"/>
        <v>0.46247072</v>
      </c>
      <c r="F40" s="568">
        <f t="shared" si="2"/>
        <v>15.140458904534322</v>
      </c>
      <c r="G40" s="570">
        <f>'Land requirements'!G152</f>
        <v>1.688590855962183E-2</v>
      </c>
      <c r="H40" s="65">
        <f>'Processing conversions'!G199*'Food requirements'!I175</f>
        <v>3.1642268993791691</v>
      </c>
      <c r="M40" s="15"/>
    </row>
    <row r="41" spans="1:13" x14ac:dyDescent="0.15">
      <c r="A41" s="68" t="s">
        <v>682</v>
      </c>
      <c r="B41" s="577">
        <f>'Land requirements'!F159</f>
        <v>13.982880223274194</v>
      </c>
      <c r="C41" s="568">
        <f>B41*'Fats and oils'!$J$10</f>
        <v>2.4889526797428063</v>
      </c>
      <c r="D41" s="568">
        <f t="shared" si="1"/>
        <v>11.116389777502985</v>
      </c>
      <c r="E41" s="545">
        <f t="shared" si="0"/>
        <v>0.46247072</v>
      </c>
      <c r="F41" s="568">
        <f t="shared" si="2"/>
        <v>5.1410047842024449</v>
      </c>
      <c r="G41" s="570">
        <f>'Land requirements'!G159</f>
        <v>5.733679357936932E-3</v>
      </c>
      <c r="H41" s="42" t="s">
        <v>1145</v>
      </c>
    </row>
    <row r="42" spans="1:13" s="308" customFormat="1" x14ac:dyDescent="0.15">
      <c r="A42" s="578" t="s">
        <v>1126</v>
      </c>
      <c r="B42" s="579">
        <f>SUM(B34:B41)</f>
        <v>189.14187997512852</v>
      </c>
      <c r="C42" s="580">
        <f>SUM(C34:C41)</f>
        <v>33.667254635572881</v>
      </c>
      <c r="D42" s="580">
        <f>SUM(D34:D41)</f>
        <v>150.36779458022718</v>
      </c>
      <c r="E42" s="90"/>
      <c r="F42" s="580">
        <f>SUM(F34:F41)</f>
        <v>69.540702224329763</v>
      </c>
      <c r="G42" s="581">
        <f>SUM(G34:G41)</f>
        <v>7.7557618717901067E-2</v>
      </c>
      <c r="H42" s="582">
        <f>SUM(H34:H41)</f>
        <v>10.156509910653114</v>
      </c>
    </row>
    <row r="43" spans="1:13" s="308" customFormat="1" ht="15" x14ac:dyDescent="0.15">
      <c r="A43" s="584" t="s">
        <v>1166</v>
      </c>
      <c r="B43" s="585"/>
      <c r="C43" s="585"/>
      <c r="D43" s="585"/>
      <c r="E43" s="48"/>
      <c r="F43" s="585"/>
      <c r="G43" s="586"/>
      <c r="H43" s="587"/>
    </row>
    <row r="44" spans="1:13" s="308" customFormat="1" ht="15" x14ac:dyDescent="0.15">
      <c r="A44" s="68" t="s">
        <v>1165</v>
      </c>
      <c r="B44" s="569"/>
      <c r="C44" s="569"/>
      <c r="D44" s="569"/>
      <c r="E44" s="313"/>
      <c r="F44" s="569"/>
      <c r="G44" s="583"/>
      <c r="H44" s="588"/>
    </row>
    <row r="45" spans="1:13" s="308" customFormat="1" ht="15" x14ac:dyDescent="0.15">
      <c r="A45" s="589" t="s">
        <v>1164</v>
      </c>
      <c r="B45" s="571"/>
      <c r="C45" s="571"/>
      <c r="D45" s="571"/>
      <c r="E45" s="8"/>
      <c r="F45" s="571"/>
      <c r="G45" s="572"/>
      <c r="H45" s="573"/>
    </row>
    <row r="47" spans="1:13" x14ac:dyDescent="0.15">
      <c r="A47" s="590" t="s">
        <v>1158</v>
      </c>
      <c r="B47" s="591"/>
      <c r="C47" s="591"/>
      <c r="D47" s="591"/>
      <c r="E47" s="591"/>
      <c r="F47" s="591"/>
      <c r="G47" s="591"/>
      <c r="H47" s="592"/>
    </row>
    <row r="48" spans="1:13" s="308" customFormat="1" x14ac:dyDescent="0.15">
      <c r="A48" s="68" t="s">
        <v>1133</v>
      </c>
      <c r="B48" s="315" t="s">
        <v>40</v>
      </c>
      <c r="C48" s="315" t="s">
        <v>1</v>
      </c>
      <c r="D48" s="315" t="s">
        <v>2</v>
      </c>
      <c r="E48" s="315"/>
      <c r="F48" s="315"/>
      <c r="G48" s="315"/>
      <c r="H48" s="146"/>
    </row>
    <row r="49" spans="1:9" x14ac:dyDescent="0.15">
      <c r="A49" s="553" t="s">
        <v>1129</v>
      </c>
      <c r="B49" s="299" t="s">
        <v>1167</v>
      </c>
      <c r="C49" s="810">
        <f>IF(C12&lt;C26,C12,C26)</f>
        <v>1.4245393224185501</v>
      </c>
      <c r="D49" s="48"/>
      <c r="E49" s="48"/>
      <c r="F49" s="48"/>
      <c r="G49" s="48"/>
      <c r="H49" s="542"/>
      <c r="I49" s="310"/>
    </row>
    <row r="50" spans="1:9" x14ac:dyDescent="0.15">
      <c r="A50" s="540" t="s">
        <v>1128</v>
      </c>
      <c r="B50" s="68" t="s">
        <v>1168</v>
      </c>
      <c r="C50" s="545">
        <f>C12/C26</f>
        <v>6.4617066813986906E-2</v>
      </c>
      <c r="D50" s="313"/>
      <c r="E50" s="313"/>
      <c r="F50" s="313"/>
      <c r="G50" s="313"/>
      <c r="H50" s="146"/>
    </row>
    <row r="51" spans="1:9" s="308" customFormat="1" x14ac:dyDescent="0.15">
      <c r="A51" s="540" t="s">
        <v>1130</v>
      </c>
      <c r="B51" s="68" t="s">
        <v>1040</v>
      </c>
      <c r="C51" s="354">
        <f>C50*G26</f>
        <v>3.1464988903639013E-3</v>
      </c>
      <c r="D51" s="313"/>
      <c r="E51" s="313"/>
      <c r="F51" s="313"/>
      <c r="G51" s="313"/>
      <c r="H51" s="146"/>
    </row>
    <row r="52" spans="1:9" s="308" customFormat="1" x14ac:dyDescent="0.15">
      <c r="A52" s="540" t="s">
        <v>1131</v>
      </c>
      <c r="B52" s="68" t="s">
        <v>1040</v>
      </c>
      <c r="C52" s="583">
        <f>G26</f>
        <v>4.8694548445254018E-2</v>
      </c>
      <c r="D52" s="313"/>
      <c r="E52" s="313"/>
      <c r="F52" s="313"/>
      <c r="G52" s="313"/>
      <c r="H52" s="146"/>
    </row>
    <row r="53" spans="1:9" s="308" customFormat="1" x14ac:dyDescent="0.15">
      <c r="A53" s="540" t="s">
        <v>1132</v>
      </c>
      <c r="B53" s="68" t="s">
        <v>1040</v>
      </c>
      <c r="C53" s="354">
        <f>C52-C51</f>
        <v>4.554804955489012E-2</v>
      </c>
      <c r="D53" s="315" t="s">
        <v>1334</v>
      </c>
      <c r="E53" s="313"/>
      <c r="F53" s="313"/>
      <c r="G53" s="313"/>
      <c r="H53" s="146"/>
      <c r="I53" s="310"/>
    </row>
    <row r="54" spans="1:9" s="308" customFormat="1" x14ac:dyDescent="0.15">
      <c r="A54" s="540" t="s">
        <v>1134</v>
      </c>
      <c r="B54" s="68" t="s">
        <v>1169</v>
      </c>
      <c r="C54" s="103">
        <f>C50*F26</f>
        <v>2.6676386855279657</v>
      </c>
      <c r="D54" s="315" t="s">
        <v>1170</v>
      </c>
      <c r="E54" s="313"/>
      <c r="F54" s="313"/>
      <c r="G54" s="313"/>
      <c r="H54" s="146"/>
    </row>
    <row r="55" spans="1:9" s="308" customFormat="1" x14ac:dyDescent="0.15">
      <c r="A55" s="540" t="s">
        <v>1135</v>
      </c>
      <c r="B55" s="68" t="s">
        <v>1169</v>
      </c>
      <c r="C55" s="103">
        <f>F26</f>
        <v>41.283809635112263</v>
      </c>
      <c r="D55" s="313"/>
      <c r="E55" s="313"/>
      <c r="F55" s="313"/>
      <c r="G55" s="313"/>
      <c r="H55" s="146"/>
    </row>
    <row r="56" spans="1:9" s="308" customFormat="1" x14ac:dyDescent="0.15">
      <c r="A56" s="540" t="s">
        <v>1136</v>
      </c>
      <c r="B56" s="68" t="s">
        <v>1169</v>
      </c>
      <c r="C56" s="103">
        <f>C55-C54</f>
        <v>38.616170949584294</v>
      </c>
      <c r="D56" s="313"/>
      <c r="E56" s="313"/>
      <c r="F56" s="313"/>
      <c r="G56" s="313"/>
      <c r="H56" s="146"/>
    </row>
    <row r="57" spans="1:9" s="308" customFormat="1" x14ac:dyDescent="0.15">
      <c r="A57" s="554" t="s">
        <v>1137</v>
      </c>
      <c r="B57" s="166" t="s">
        <v>1169</v>
      </c>
      <c r="C57" s="67">
        <f>C56+F12</f>
        <v>43.161481614937443</v>
      </c>
      <c r="D57" s="8"/>
      <c r="E57" s="8"/>
      <c r="F57" s="8"/>
      <c r="G57" s="8"/>
      <c r="H57" s="547"/>
    </row>
    <row r="58" spans="1:9" s="308" customFormat="1" x14ac:dyDescent="0.15">
      <c r="A58" s="63"/>
      <c r="B58" s="63"/>
      <c r="C58" s="549"/>
      <c r="D58" s="48"/>
      <c r="E58" s="48"/>
      <c r="F58" s="48"/>
      <c r="G58" s="48"/>
      <c r="H58" s="48"/>
    </row>
    <row r="59" spans="1:9" s="308" customFormat="1" x14ac:dyDescent="0.15">
      <c r="A59" s="590" t="s">
        <v>1159</v>
      </c>
      <c r="B59" s="593"/>
      <c r="C59" s="594"/>
      <c r="D59" s="591"/>
      <c r="E59" s="591"/>
      <c r="F59" s="591"/>
      <c r="G59" s="591"/>
      <c r="H59" s="592"/>
    </row>
    <row r="60" spans="1:9" s="308" customFormat="1" x14ac:dyDescent="0.15">
      <c r="A60" s="560" t="s">
        <v>1133</v>
      </c>
      <c r="B60" s="315" t="s">
        <v>40</v>
      </c>
      <c r="C60" s="315" t="s">
        <v>1</v>
      </c>
      <c r="D60" s="315" t="s">
        <v>2</v>
      </c>
      <c r="E60" s="313"/>
      <c r="F60" s="313"/>
      <c r="G60" s="313"/>
      <c r="H60" s="146"/>
    </row>
    <row r="61" spans="1:9" s="308" customFormat="1" x14ac:dyDescent="0.15">
      <c r="A61" s="515" t="s">
        <v>1335</v>
      </c>
      <c r="B61" s="584" t="s">
        <v>1175</v>
      </c>
      <c r="C61" s="811">
        <f>(Animalfat_allowance/Plantoil_intake)*C26</f>
        <v>3.674311325312269</v>
      </c>
      <c r="D61" s="64" t="s">
        <v>1171</v>
      </c>
      <c r="E61" s="727"/>
      <c r="F61" s="727"/>
      <c r="G61" s="727"/>
      <c r="H61" s="728"/>
      <c r="I61" s="311"/>
    </row>
    <row r="62" spans="1:9" s="308" customFormat="1" x14ac:dyDescent="0.15">
      <c r="A62" s="472" t="s">
        <v>1336</v>
      </c>
      <c r="B62" s="164" t="s">
        <v>1175</v>
      </c>
      <c r="C62" s="186">
        <f>IF(H42&lt;(C26-C49),H42,(C26-C49))</f>
        <v>10.156509910653114</v>
      </c>
      <c r="D62" s="195" t="s">
        <v>1337</v>
      </c>
      <c r="E62" s="195"/>
      <c r="F62" s="195"/>
      <c r="G62" s="195"/>
      <c r="H62" s="729"/>
      <c r="I62" s="311"/>
    </row>
    <row r="63" spans="1:9" s="308" customFormat="1" x14ac:dyDescent="0.15">
      <c r="A63" s="540" t="s">
        <v>1129</v>
      </c>
      <c r="B63" s="68" t="s">
        <v>1175</v>
      </c>
      <c r="C63" s="186">
        <f>IF(C61&lt;C62,C61,C62)</f>
        <v>3.674311325312269</v>
      </c>
      <c r="D63" s="315" t="s">
        <v>1172</v>
      </c>
      <c r="E63" s="313"/>
      <c r="F63" s="313"/>
      <c r="G63" s="313"/>
      <c r="H63" s="146"/>
    </row>
    <row r="64" spans="1:9" s="308" customFormat="1" x14ac:dyDescent="0.15">
      <c r="A64" s="540" t="s">
        <v>1128</v>
      </c>
      <c r="B64" s="68" t="s">
        <v>1157</v>
      </c>
      <c r="C64" s="545">
        <f>C63/C26</f>
        <v>0.16666666666666666</v>
      </c>
      <c r="D64" s="313"/>
      <c r="E64" s="313"/>
      <c r="F64" s="313"/>
      <c r="G64" s="313"/>
      <c r="H64" s="146"/>
    </row>
    <row r="65" spans="1:9" s="308" customFormat="1" x14ac:dyDescent="0.15">
      <c r="A65" s="540" t="s">
        <v>1130</v>
      </c>
      <c r="B65" s="68" t="s">
        <v>1040</v>
      </c>
      <c r="C65" s="354">
        <f>C64*G26</f>
        <v>8.1157580742090025E-3</v>
      </c>
      <c r="D65" s="315" t="s">
        <v>1173</v>
      </c>
      <c r="E65" s="313"/>
      <c r="F65" s="313"/>
      <c r="G65" s="313"/>
      <c r="H65" s="146"/>
      <c r="I65" s="310"/>
    </row>
    <row r="66" spans="1:9" s="308" customFormat="1" x14ac:dyDescent="0.15">
      <c r="A66" s="540" t="s">
        <v>1131</v>
      </c>
      <c r="B66" s="68" t="s">
        <v>1040</v>
      </c>
      <c r="C66" s="583">
        <f>G26</f>
        <v>4.8694548445254018E-2</v>
      </c>
      <c r="D66" s="313"/>
      <c r="E66" s="313"/>
      <c r="F66" s="313"/>
      <c r="G66" s="313"/>
      <c r="H66" s="146"/>
      <c r="I66" s="310"/>
    </row>
    <row r="67" spans="1:9" s="308" customFormat="1" x14ac:dyDescent="0.15">
      <c r="A67" s="540" t="s">
        <v>1132</v>
      </c>
      <c r="B67" s="68" t="s">
        <v>1040</v>
      </c>
      <c r="C67" s="354">
        <f>C66-C65-C51</f>
        <v>3.7432291480681119E-2</v>
      </c>
      <c r="D67" s="315" t="s">
        <v>1174</v>
      </c>
      <c r="E67" s="313"/>
      <c r="F67" s="313"/>
      <c r="G67" s="313"/>
      <c r="H67" s="146"/>
      <c r="I67" s="310"/>
    </row>
    <row r="68" spans="1:9" s="308" customFormat="1" x14ac:dyDescent="0.15">
      <c r="A68" s="540" t="s">
        <v>1134</v>
      </c>
      <c r="B68" s="68" t="s">
        <v>1169</v>
      </c>
      <c r="C68" s="103">
        <f>C64*F26</f>
        <v>6.8806349391853772</v>
      </c>
      <c r="D68" s="313"/>
      <c r="E68" s="313"/>
      <c r="F68" s="313"/>
      <c r="G68" s="313"/>
      <c r="H68" s="146"/>
    </row>
    <row r="69" spans="1:9" s="308" customFormat="1" x14ac:dyDescent="0.15">
      <c r="A69" s="540" t="s">
        <v>1135</v>
      </c>
      <c r="B69" s="68" t="s">
        <v>1169</v>
      </c>
      <c r="C69" s="103">
        <f>F26</f>
        <v>41.283809635112263</v>
      </c>
      <c r="D69" s="313"/>
      <c r="E69" s="103"/>
      <c r="F69" s="313"/>
      <c r="G69" s="313"/>
      <c r="H69" s="146"/>
    </row>
    <row r="70" spans="1:9" s="308" customFormat="1" x14ac:dyDescent="0.15">
      <c r="A70" s="540" t="s">
        <v>1136</v>
      </c>
      <c r="B70" s="68" t="s">
        <v>1169</v>
      </c>
      <c r="C70" s="103">
        <f>C69-C68-C54</f>
        <v>31.735536010398921</v>
      </c>
      <c r="D70" s="315" t="s">
        <v>1174</v>
      </c>
      <c r="E70" s="313"/>
      <c r="F70" s="313"/>
      <c r="G70" s="313"/>
      <c r="H70" s="146"/>
    </row>
    <row r="71" spans="1:9" s="308" customFormat="1" x14ac:dyDescent="0.15">
      <c r="A71" s="554" t="s">
        <v>1137</v>
      </c>
      <c r="B71" s="166" t="s">
        <v>1169</v>
      </c>
      <c r="C71" s="67">
        <f>C70+F12</f>
        <v>36.280846675752066</v>
      </c>
      <c r="D71" s="8"/>
      <c r="E71" s="8"/>
      <c r="F71" s="8"/>
      <c r="G71" s="8"/>
      <c r="H71" s="547"/>
    </row>
    <row r="72" spans="1:9" s="308" customFormat="1" x14ac:dyDescent="0.15">
      <c r="A72" s="15"/>
      <c r="I72" s="311"/>
    </row>
    <row r="73" spans="1:9" s="308" customFormat="1" x14ac:dyDescent="0.15">
      <c r="A73" s="812" t="s">
        <v>1160</v>
      </c>
      <c r="B73" s="813"/>
      <c r="C73" s="813"/>
      <c r="D73" s="813"/>
      <c r="E73" s="813"/>
      <c r="F73" s="813"/>
      <c r="G73" s="813"/>
      <c r="H73" s="814"/>
      <c r="I73" s="310"/>
    </row>
    <row r="74" spans="1:9" x14ac:dyDescent="0.15">
      <c r="A74" s="164" t="s">
        <v>1133</v>
      </c>
      <c r="B74" s="195"/>
      <c r="C74" s="195"/>
      <c r="D74" s="309"/>
      <c r="E74" s="195"/>
      <c r="F74" s="195"/>
      <c r="G74" s="815" t="s">
        <v>40</v>
      </c>
      <c r="H74" s="816" t="s">
        <v>1</v>
      </c>
      <c r="I74" s="310"/>
    </row>
    <row r="75" spans="1:9" x14ac:dyDescent="0.15">
      <c r="A75" s="584" t="s">
        <v>1339</v>
      </c>
      <c r="B75" s="727"/>
      <c r="C75" s="727"/>
      <c r="D75" s="727"/>
      <c r="E75" s="727"/>
      <c r="F75" s="728"/>
      <c r="G75" s="584" t="s">
        <v>1040</v>
      </c>
      <c r="H75" s="817">
        <f>C51</f>
        <v>3.1464988903639013E-3</v>
      </c>
      <c r="I75" s="311"/>
    </row>
    <row r="76" spans="1:9" s="308" customFormat="1" x14ac:dyDescent="0.15">
      <c r="A76" s="164" t="s">
        <v>1340</v>
      </c>
      <c r="B76" s="195"/>
      <c r="C76" s="195"/>
      <c r="D76" s="195"/>
      <c r="E76" s="195"/>
      <c r="F76" s="729"/>
      <c r="G76" s="164" t="s">
        <v>1040</v>
      </c>
      <c r="H76" s="671">
        <f>C65</f>
        <v>8.1157580742090025E-3</v>
      </c>
    </row>
    <row r="77" spans="1:9" x14ac:dyDescent="0.15">
      <c r="A77" s="164" t="s">
        <v>1341</v>
      </c>
      <c r="B77" s="195"/>
      <c r="C77" s="195"/>
      <c r="D77" s="195"/>
      <c r="E77" s="195"/>
      <c r="F77" s="729"/>
      <c r="G77" s="164" t="s">
        <v>1040</v>
      </c>
      <c r="H77" s="671">
        <f>IF(C71&lt;F42,(C71/F42)*G42,G42)</f>
        <v>4.0463440592869673E-2</v>
      </c>
      <c r="I77" t="s">
        <v>1338</v>
      </c>
    </row>
    <row r="78" spans="1:9" x14ac:dyDescent="0.15">
      <c r="A78" s="589" t="s">
        <v>1155</v>
      </c>
      <c r="B78" s="818"/>
      <c r="C78" s="818"/>
      <c r="D78" s="818"/>
      <c r="E78" s="818"/>
      <c r="F78" s="819"/>
      <c r="G78" s="164" t="s">
        <v>1156</v>
      </c>
      <c r="H78" s="800" t="str">
        <f>IF(C71&gt;=F42,"yes","no")</f>
        <v>no</v>
      </c>
    </row>
    <row r="79" spans="1:9" x14ac:dyDescent="0.15">
      <c r="A79" s="595" t="s">
        <v>1138</v>
      </c>
      <c r="B79" s="8"/>
      <c r="C79" s="8"/>
      <c r="D79" s="8"/>
      <c r="E79" s="8"/>
      <c r="F79" s="8"/>
      <c r="G79" s="567"/>
      <c r="H79" s="597">
        <f>SUM(H75:H77)</f>
        <v>5.1725697557442579E-2</v>
      </c>
    </row>
    <row r="80" spans="1:9" s="308" customFormat="1" x14ac:dyDescent="0.15">
      <c r="A80" s="198"/>
      <c r="B80" s="313"/>
      <c r="C80" s="313"/>
      <c r="D80" s="313"/>
      <c r="E80" s="313"/>
      <c r="F80" s="313"/>
      <c r="G80" s="313"/>
      <c r="H80" s="353"/>
    </row>
    <row r="81" spans="1:8" s="308" customFormat="1" x14ac:dyDescent="0.15">
      <c r="A81" s="820" t="s">
        <v>1345</v>
      </c>
      <c r="B81" s="820" t="s">
        <v>1346</v>
      </c>
      <c r="C81" s="313"/>
      <c r="D81" s="313"/>
      <c r="E81" s="313"/>
      <c r="F81" s="313"/>
      <c r="G81" s="313"/>
      <c r="H81" s="353"/>
    </row>
    <row r="82" spans="1:8" x14ac:dyDescent="0.15">
      <c r="A82" s="661" t="s">
        <v>1342</v>
      </c>
      <c r="B82" s="821">
        <f>IF(H78="no",0,C71-F42)</f>
        <v>0</v>
      </c>
    </row>
    <row r="83" spans="1:8" x14ac:dyDescent="0.15">
      <c r="A83" s="661" t="s">
        <v>1343</v>
      </c>
      <c r="B83" s="821">
        <f>IF(H78="yes",0,((F42-C71)/F42)*C42)</f>
        <v>16.102339925819312</v>
      </c>
    </row>
    <row r="84" spans="1:8" x14ac:dyDescent="0.15">
      <c r="A84" s="661" t="s">
        <v>1344</v>
      </c>
      <c r="B84" s="822">
        <f>H42-C63</f>
        <v>6.4821985853408446</v>
      </c>
    </row>
  </sheetData>
  <mergeCells count="4">
    <mergeCell ref="A2:H4"/>
    <mergeCell ref="A6:G6"/>
    <mergeCell ref="A13:G18"/>
    <mergeCell ref="A27:G2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ColWidth="8.83203125" defaultRowHeight="13" x14ac:dyDescent="0.15"/>
  <cols>
    <col min="1" max="1" width="60.5" bestFit="1" customWidth="1"/>
    <col min="2" max="2" width="14" bestFit="1" customWidth="1"/>
    <col min="3" max="3" width="15.6640625" bestFit="1" customWidth="1"/>
    <col min="4" max="4" width="113.5" bestFit="1" customWidth="1"/>
  </cols>
  <sheetData>
    <row r="1" spans="1:5" x14ac:dyDescent="0.15">
      <c r="A1" s="340" t="s">
        <v>1200</v>
      </c>
    </row>
    <row r="2" spans="1:5" s="308" customFormat="1" x14ac:dyDescent="0.15">
      <c r="A2" s="958" t="s">
        <v>1201</v>
      </c>
      <c r="B2" s="959"/>
      <c r="C2" s="959"/>
      <c r="D2" s="960"/>
    </row>
    <row r="3" spans="1:5" x14ac:dyDescent="0.15">
      <c r="A3" s="961"/>
      <c r="B3" s="962"/>
      <c r="C3" s="962"/>
      <c r="D3" s="963"/>
    </row>
    <row r="5" spans="1:5" x14ac:dyDescent="0.15">
      <c r="A5" s="609" t="s">
        <v>1182</v>
      </c>
      <c r="B5" s="610"/>
      <c r="C5" s="610"/>
      <c r="D5" s="611"/>
    </row>
    <row r="6" spans="1:5" s="308" customFormat="1" x14ac:dyDescent="0.15">
      <c r="A6" s="560" t="s">
        <v>1133</v>
      </c>
      <c r="B6" s="89" t="s">
        <v>40</v>
      </c>
      <c r="C6" s="89" t="s">
        <v>1</v>
      </c>
      <c r="D6" s="596" t="s">
        <v>2</v>
      </c>
    </row>
    <row r="7" spans="1:5" x14ac:dyDescent="0.15">
      <c r="A7" s="607" t="s">
        <v>1176</v>
      </c>
      <c r="B7" s="86" t="s">
        <v>1040</v>
      </c>
      <c r="C7" s="601">
        <f>'Land availability'!E62</f>
        <v>739359727.70031202</v>
      </c>
      <c r="D7" s="602" t="s">
        <v>1183</v>
      </c>
      <c r="E7" s="310"/>
    </row>
    <row r="8" spans="1:5" x14ac:dyDescent="0.15">
      <c r="A8" s="607" t="s">
        <v>1177</v>
      </c>
      <c r="B8" s="106" t="s">
        <v>1040</v>
      </c>
      <c r="C8" s="603">
        <f>'Land availability'!E61</f>
        <v>331234337.0589028</v>
      </c>
      <c r="D8" s="604" t="s">
        <v>1184</v>
      </c>
      <c r="E8" s="310"/>
    </row>
    <row r="9" spans="1:5" x14ac:dyDescent="0.15">
      <c r="A9" s="608" t="s">
        <v>671</v>
      </c>
      <c r="B9" s="58"/>
      <c r="C9" s="605">
        <f>C7/C8</f>
        <v>2.2321349116919391</v>
      </c>
      <c r="D9" s="606"/>
      <c r="E9" s="310"/>
    </row>
    <row r="10" spans="1:5" s="308" customFormat="1" x14ac:dyDescent="0.15">
      <c r="A10" s="314"/>
      <c r="B10" s="314"/>
      <c r="C10" s="341"/>
      <c r="D10" s="341"/>
      <c r="E10" s="310"/>
    </row>
    <row r="11" spans="1:5" s="308" customFormat="1" x14ac:dyDescent="0.15">
      <c r="A11" s="616" t="s">
        <v>1185</v>
      </c>
      <c r="B11" s="617"/>
      <c r="C11" s="618"/>
      <c r="D11" s="619"/>
      <c r="E11" s="310"/>
    </row>
    <row r="12" spans="1:5" s="308" customFormat="1" x14ac:dyDescent="0.15">
      <c r="A12" s="560" t="s">
        <v>1133</v>
      </c>
      <c r="B12" s="89" t="s">
        <v>40</v>
      </c>
      <c r="C12" s="89" t="s">
        <v>1</v>
      </c>
      <c r="D12" s="596" t="s">
        <v>2</v>
      </c>
      <c r="E12" s="310"/>
    </row>
    <row r="13" spans="1:5" s="308" customFormat="1" x14ac:dyDescent="0.15">
      <c r="A13" s="615" t="s">
        <v>1178</v>
      </c>
      <c r="B13" s="86" t="s">
        <v>1186</v>
      </c>
      <c r="C13" s="612">
        <f>cropland_pasture_yield</f>
        <v>1994.9999999999998</v>
      </c>
      <c r="D13" s="634" t="s">
        <v>1199</v>
      </c>
      <c r="E13" s="310"/>
    </row>
    <row r="14" spans="1:5" s="308" customFormat="1" x14ac:dyDescent="0.15">
      <c r="A14" s="615" t="s">
        <v>1179</v>
      </c>
      <c r="B14" s="86" t="s">
        <v>1186</v>
      </c>
      <c r="C14" s="612">
        <f>grazing_land_yield</f>
        <v>458.36369572998194</v>
      </c>
      <c r="D14" s="634" t="s">
        <v>1199</v>
      </c>
      <c r="E14" s="310"/>
    </row>
    <row r="15" spans="1:5" x14ac:dyDescent="0.15">
      <c r="A15" s="608" t="s">
        <v>672</v>
      </c>
      <c r="B15" s="58"/>
      <c r="C15" s="613">
        <f>C13/C14</f>
        <v>4.3524389444124667</v>
      </c>
      <c r="D15" s="614"/>
      <c r="E15" s="310"/>
    </row>
    <row r="16" spans="1:5" s="308" customFormat="1" x14ac:dyDescent="0.15">
      <c r="A16" s="314"/>
      <c r="B16" s="314"/>
      <c r="C16" s="342"/>
      <c r="D16" s="598"/>
      <c r="E16" s="310"/>
    </row>
    <row r="17" spans="1:5" s="308" customFormat="1" x14ac:dyDescent="0.15">
      <c r="A17" s="616" t="s">
        <v>1187</v>
      </c>
      <c r="B17" s="617"/>
      <c r="C17" s="624"/>
      <c r="D17" s="625"/>
      <c r="E17" s="310"/>
    </row>
    <row r="18" spans="1:5" s="308" customFormat="1" x14ac:dyDescent="0.15">
      <c r="A18" s="560" t="s">
        <v>1133</v>
      </c>
      <c r="B18" s="25" t="s">
        <v>40</v>
      </c>
      <c r="C18" s="25" t="s">
        <v>1</v>
      </c>
      <c r="D18" s="623" t="s">
        <v>2</v>
      </c>
      <c r="E18" s="310"/>
    </row>
    <row r="19" spans="1:5" s="308" customFormat="1" x14ac:dyDescent="0.15">
      <c r="A19" s="540" t="s">
        <v>1204</v>
      </c>
      <c r="B19" s="86" t="s">
        <v>1192</v>
      </c>
      <c r="C19" s="632">
        <f>SUM('Land requirements'!G7:G209)</f>
        <v>0.38113019732378484</v>
      </c>
      <c r="D19" s="633" t="s">
        <v>1205</v>
      </c>
      <c r="E19" s="310"/>
    </row>
    <row r="20" spans="1:5" s="308" customFormat="1" x14ac:dyDescent="0.15">
      <c r="A20" s="615" t="s">
        <v>1180</v>
      </c>
      <c r="B20" s="86" t="s">
        <v>1192</v>
      </c>
      <c r="C20" s="620">
        <f>C19-'Multiuse crop adjustment'!H79</f>
        <v>0.32940449976634223</v>
      </c>
      <c r="D20" s="633" t="s">
        <v>1188</v>
      </c>
      <c r="E20" s="310"/>
    </row>
    <row r="21" spans="1:5" s="308" customFormat="1" x14ac:dyDescent="0.15">
      <c r="A21" s="615" t="s">
        <v>1181</v>
      </c>
      <c r="B21" s="86" t="s">
        <v>1192</v>
      </c>
      <c r="C21" s="620">
        <f>SUM('Land requirements'!H7:H209)</f>
        <v>0.1325681749302631</v>
      </c>
      <c r="D21" s="633" t="s">
        <v>1189</v>
      </c>
      <c r="E21" s="310"/>
    </row>
    <row r="22" spans="1:5" x14ac:dyDescent="0.15">
      <c r="A22" s="615" t="s">
        <v>690</v>
      </c>
      <c r="B22" s="86" t="s">
        <v>1192</v>
      </c>
      <c r="C22" s="621">
        <f>(C20/'Land availability'!E37)+'Grazing land adjustment'!C21</f>
        <v>0.45120526716773657</v>
      </c>
      <c r="D22" s="633" t="s">
        <v>1190</v>
      </c>
      <c r="E22" s="310"/>
    </row>
    <row r="23" spans="1:5" x14ac:dyDescent="0.15">
      <c r="A23" s="615" t="s">
        <v>673</v>
      </c>
      <c r="B23" s="86" t="s">
        <v>1192</v>
      </c>
      <c r="C23" s="620">
        <f>SUM('Land requirements'!I7:I209)</f>
        <v>0.87481324475827282</v>
      </c>
      <c r="D23" s="633" t="s">
        <v>1191</v>
      </c>
      <c r="E23" s="310"/>
    </row>
    <row r="24" spans="1:5" x14ac:dyDescent="0.15">
      <c r="A24" s="608" t="s">
        <v>674</v>
      </c>
      <c r="B24" s="58"/>
      <c r="C24" s="613">
        <f>C23/C22</f>
        <v>1.9388365083802512</v>
      </c>
      <c r="D24" s="622"/>
      <c r="E24" s="310"/>
    </row>
    <row r="25" spans="1:5" s="308" customFormat="1" x14ac:dyDescent="0.15">
      <c r="A25" s="314"/>
      <c r="B25" s="314"/>
      <c r="C25" s="342"/>
      <c r="D25" s="600"/>
      <c r="E25" s="310"/>
    </row>
    <row r="26" spans="1:5" s="308" customFormat="1" x14ac:dyDescent="0.15">
      <c r="A26" s="616" t="s">
        <v>1193</v>
      </c>
      <c r="B26" s="617"/>
      <c r="C26" s="624"/>
      <c r="D26" s="629"/>
      <c r="E26" s="310"/>
    </row>
    <row r="27" spans="1:5" x14ac:dyDescent="0.15">
      <c r="A27" s="628" t="s">
        <v>1133</v>
      </c>
      <c r="B27" s="25" t="s">
        <v>40</v>
      </c>
      <c r="C27" s="25" t="s">
        <v>1</v>
      </c>
      <c r="D27" s="627" t="s">
        <v>2</v>
      </c>
      <c r="E27" s="310"/>
    </row>
    <row r="28" spans="1:5" x14ac:dyDescent="0.15">
      <c r="A28" s="615" t="s">
        <v>675</v>
      </c>
      <c r="B28" s="86" t="s">
        <v>1192</v>
      </c>
      <c r="C28" s="630">
        <f>IF(C24&gt;C9,(C23-C9*C22)/(C9+C15),0)</f>
        <v>0</v>
      </c>
      <c r="D28" s="635" t="s">
        <v>1194</v>
      </c>
      <c r="E28" s="310"/>
    </row>
    <row r="29" spans="1:5" x14ac:dyDescent="0.15">
      <c r="A29" s="615" t="s">
        <v>676</v>
      </c>
      <c r="B29" s="86" t="s">
        <v>1192</v>
      </c>
      <c r="C29" s="630">
        <f>C15*C28</f>
        <v>0</v>
      </c>
      <c r="D29" s="636" t="s">
        <v>1195</v>
      </c>
      <c r="E29" s="310"/>
    </row>
    <row r="30" spans="1:5" x14ac:dyDescent="0.15">
      <c r="A30" s="615" t="s">
        <v>1196</v>
      </c>
      <c r="B30" s="86" t="s">
        <v>1192</v>
      </c>
      <c r="C30" s="626">
        <f>C22+C28</f>
        <v>0.45120526716773657</v>
      </c>
      <c r="D30" s="637"/>
      <c r="E30" s="310"/>
    </row>
    <row r="31" spans="1:5" x14ac:dyDescent="0.15">
      <c r="A31" s="615" t="s">
        <v>677</v>
      </c>
      <c r="B31" s="86" t="s">
        <v>1192</v>
      </c>
      <c r="C31" s="626">
        <f>C23-C29</f>
        <v>0.87481324475827282</v>
      </c>
      <c r="D31" s="638"/>
      <c r="E31" s="310"/>
    </row>
    <row r="32" spans="1:5" x14ac:dyDescent="0.15">
      <c r="A32" s="608" t="s">
        <v>1197</v>
      </c>
      <c r="B32" s="448"/>
      <c r="C32" s="613">
        <f>C31/C30</f>
        <v>1.9388365083802512</v>
      </c>
      <c r="D32" s="639" t="s">
        <v>1198</v>
      </c>
      <c r="E32" s="310"/>
    </row>
  </sheetData>
  <mergeCells count="1">
    <mergeCell ref="A2:D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selection activeCell="I40" sqref="I40"/>
    </sheetView>
  </sheetViews>
  <sheetFormatPr baseColWidth="10" defaultColWidth="8.83203125" defaultRowHeight="13" x14ac:dyDescent="0.15"/>
  <cols>
    <col min="1" max="1" width="43.5" bestFit="1" customWidth="1"/>
    <col min="2" max="2" width="23.6640625" customWidth="1"/>
    <col min="3" max="3" width="6.33203125" customWidth="1"/>
    <col min="5" max="5" width="15" bestFit="1" customWidth="1"/>
    <col min="6" max="6" width="59" bestFit="1" customWidth="1"/>
  </cols>
  <sheetData>
    <row r="1" spans="1:20" x14ac:dyDescent="0.15">
      <c r="A1" s="1" t="s">
        <v>1054</v>
      </c>
    </row>
    <row r="2" spans="1:20" ht="12.75" customHeight="1" x14ac:dyDescent="0.15">
      <c r="A2" s="964" t="s">
        <v>1055</v>
      </c>
      <c r="B2" s="965"/>
      <c r="C2" s="965"/>
      <c r="D2" s="965"/>
      <c r="E2" s="965"/>
      <c r="F2" s="966"/>
      <c r="G2" s="116"/>
      <c r="H2" s="116"/>
      <c r="I2" s="116"/>
      <c r="J2" s="116"/>
      <c r="K2" s="116"/>
      <c r="L2" s="116"/>
      <c r="M2" s="116"/>
      <c r="N2" s="116"/>
      <c r="O2" s="116"/>
      <c r="P2" s="116"/>
      <c r="Q2" s="116"/>
      <c r="R2" s="116"/>
      <c r="S2" s="116"/>
      <c r="T2" s="116"/>
    </row>
    <row r="3" spans="1:20" s="308" customFormat="1" x14ac:dyDescent="0.15">
      <c r="A3" s="967"/>
      <c r="B3" s="901"/>
      <c r="C3" s="901"/>
      <c r="D3" s="901"/>
      <c r="E3" s="901"/>
      <c r="F3" s="968"/>
      <c r="G3" s="116"/>
      <c r="H3" s="116"/>
      <c r="I3" s="116"/>
      <c r="J3" s="116"/>
      <c r="K3" s="116"/>
      <c r="L3" s="116"/>
      <c r="M3" s="116"/>
      <c r="N3" s="116"/>
      <c r="O3" s="116"/>
      <c r="P3" s="116"/>
      <c r="Q3" s="116"/>
      <c r="R3" s="116"/>
      <c r="S3" s="116"/>
      <c r="T3" s="116"/>
    </row>
    <row r="4" spans="1:20" s="308" customFormat="1" x14ac:dyDescent="0.15">
      <c r="A4" s="967"/>
      <c r="B4" s="901"/>
      <c r="C4" s="901"/>
      <c r="D4" s="901"/>
      <c r="E4" s="901"/>
      <c r="F4" s="968"/>
      <c r="G4" s="116"/>
      <c r="H4" s="116"/>
      <c r="I4" s="116"/>
      <c r="J4" s="116"/>
      <c r="K4" s="116"/>
      <c r="L4" s="116"/>
      <c r="M4" s="116"/>
      <c r="N4" s="116"/>
      <c r="O4" s="116"/>
      <c r="P4" s="116"/>
      <c r="Q4" s="116"/>
      <c r="R4" s="116"/>
      <c r="S4" s="116"/>
      <c r="T4" s="116"/>
    </row>
    <row r="5" spans="1:20" s="308" customFormat="1" x14ac:dyDescent="0.15">
      <c r="A5" s="969"/>
      <c r="B5" s="970"/>
      <c r="C5" s="970"/>
      <c r="D5" s="970"/>
      <c r="E5" s="970"/>
      <c r="F5" s="971"/>
      <c r="G5" s="116"/>
      <c r="H5" s="116"/>
      <c r="I5" s="116"/>
      <c r="J5" s="116"/>
      <c r="K5" s="116"/>
      <c r="L5" s="116"/>
      <c r="M5" s="116"/>
      <c r="N5" s="116"/>
      <c r="O5" s="116"/>
      <c r="P5" s="116"/>
      <c r="Q5" s="116"/>
      <c r="R5" s="116"/>
      <c r="S5" s="116"/>
      <c r="T5" s="116"/>
    </row>
    <row r="7" spans="1:20" x14ac:dyDescent="0.15">
      <c r="A7" s="1" t="s">
        <v>349</v>
      </c>
      <c r="B7" s="1" t="s">
        <v>625</v>
      </c>
      <c r="C7" s="1" t="s">
        <v>40</v>
      </c>
      <c r="D7" s="1" t="s">
        <v>1057</v>
      </c>
      <c r="E7" s="1" t="s">
        <v>1</v>
      </c>
      <c r="F7" s="1" t="s">
        <v>2</v>
      </c>
    </row>
    <row r="8" spans="1:20" x14ac:dyDescent="0.15">
      <c r="A8" s="72" t="s">
        <v>1045</v>
      </c>
      <c r="B8" s="15"/>
      <c r="C8" s="15"/>
    </row>
    <row r="9" spans="1:20" x14ac:dyDescent="0.15">
      <c r="A9" s="477" t="s">
        <v>1046</v>
      </c>
      <c r="B9" s="63" t="s">
        <v>1056</v>
      </c>
      <c r="C9" s="63" t="s">
        <v>1040</v>
      </c>
      <c r="D9" s="48">
        <v>2007</v>
      </c>
      <c r="E9" s="478">
        <v>405124110</v>
      </c>
      <c r="F9" s="514" t="s">
        <v>1087</v>
      </c>
    </row>
    <row r="10" spans="1:20" x14ac:dyDescent="0.15">
      <c r="A10" s="479" t="s">
        <v>1047</v>
      </c>
      <c r="B10" s="315" t="s">
        <v>1056</v>
      </c>
      <c r="C10" s="315" t="s">
        <v>1040</v>
      </c>
      <c r="D10" s="313">
        <v>2007</v>
      </c>
      <c r="E10" s="480">
        <v>308863924</v>
      </c>
      <c r="F10" s="507" t="s">
        <v>1087</v>
      </c>
    </row>
    <row r="11" spans="1:20" s="308" customFormat="1" x14ac:dyDescent="0.15">
      <c r="A11" s="481" t="s">
        <v>1058</v>
      </c>
      <c r="B11" s="315" t="s">
        <v>1056</v>
      </c>
      <c r="C11" s="315" t="s">
        <v>1040</v>
      </c>
      <c r="D11" s="313">
        <v>2007</v>
      </c>
      <c r="E11" s="480">
        <v>35568387</v>
      </c>
      <c r="F11" s="507" t="s">
        <v>1087</v>
      </c>
    </row>
    <row r="12" spans="1:20" x14ac:dyDescent="0.15">
      <c r="A12" s="479" t="s">
        <v>1048</v>
      </c>
      <c r="B12" s="315" t="s">
        <v>1056</v>
      </c>
      <c r="C12" s="315" t="s">
        <v>1040</v>
      </c>
      <c r="D12" s="313">
        <v>2007</v>
      </c>
      <c r="E12" s="480">
        <v>60691799</v>
      </c>
      <c r="F12" s="507" t="s">
        <v>1087</v>
      </c>
    </row>
    <row r="13" spans="1:20" x14ac:dyDescent="0.15">
      <c r="A13" s="482" t="s">
        <v>1050</v>
      </c>
      <c r="B13" s="483" t="s">
        <v>31</v>
      </c>
      <c r="C13" s="483" t="s">
        <v>1040</v>
      </c>
      <c r="D13" s="484">
        <v>2007</v>
      </c>
      <c r="E13" s="485">
        <f>SUM(E10:E11)</f>
        <v>344432311</v>
      </c>
      <c r="F13" s="511"/>
    </row>
    <row r="14" spans="1:20" s="308" customFormat="1" x14ac:dyDescent="0.15">
      <c r="A14" s="486" t="s">
        <v>1059</v>
      </c>
      <c r="B14" s="487" t="s">
        <v>31</v>
      </c>
      <c r="C14" s="487" t="s">
        <v>1060</v>
      </c>
      <c r="D14" s="488">
        <v>2007</v>
      </c>
      <c r="E14" s="489">
        <f>E13/E9</f>
        <v>0.8501896147331246</v>
      </c>
      <c r="F14" s="513"/>
    </row>
    <row r="16" spans="1:20" x14ac:dyDescent="0.15">
      <c r="A16" s="72" t="s">
        <v>1081</v>
      </c>
    </row>
    <row r="17" spans="1:6" x14ac:dyDescent="0.15">
      <c r="A17" s="490" t="s">
        <v>1067</v>
      </c>
      <c r="B17" s="63" t="s">
        <v>1056</v>
      </c>
      <c r="C17" s="63" t="s">
        <v>1040</v>
      </c>
      <c r="D17" s="48">
        <v>2007</v>
      </c>
      <c r="E17" s="48">
        <v>1948205</v>
      </c>
      <c r="F17" s="515" t="s">
        <v>1083</v>
      </c>
    </row>
    <row r="18" spans="1:6" x14ac:dyDescent="0.15">
      <c r="A18" s="491" t="s">
        <v>1068</v>
      </c>
      <c r="B18" s="315" t="s">
        <v>1056</v>
      </c>
      <c r="C18" s="315" t="s">
        <v>1040</v>
      </c>
      <c r="D18" s="313">
        <v>2007</v>
      </c>
      <c r="E18" s="313">
        <v>944312</v>
      </c>
      <c r="F18" s="472" t="s">
        <v>1083</v>
      </c>
    </row>
    <row r="19" spans="1:6" s="308" customFormat="1" x14ac:dyDescent="0.15">
      <c r="A19" s="491" t="s">
        <v>1069</v>
      </c>
      <c r="B19" s="315" t="s">
        <v>1056</v>
      </c>
      <c r="C19" s="315" t="s">
        <v>1040</v>
      </c>
      <c r="D19" s="313">
        <v>2007</v>
      </c>
      <c r="E19" s="313">
        <v>1553492</v>
      </c>
      <c r="F19" s="472" t="s">
        <v>1083</v>
      </c>
    </row>
    <row r="20" spans="1:6" s="308" customFormat="1" x14ac:dyDescent="0.15">
      <c r="A20" s="491" t="s">
        <v>1070</v>
      </c>
      <c r="B20" s="315" t="s">
        <v>1056</v>
      </c>
      <c r="C20" s="315" t="s">
        <v>1040</v>
      </c>
      <c r="D20" s="313">
        <v>2007</v>
      </c>
      <c r="E20" s="313">
        <v>209790</v>
      </c>
      <c r="F20" s="516" t="s">
        <v>1082</v>
      </c>
    </row>
    <row r="21" spans="1:6" s="308" customFormat="1" x14ac:dyDescent="0.15">
      <c r="A21" s="492" t="s">
        <v>1073</v>
      </c>
      <c r="B21" s="315" t="s">
        <v>1056</v>
      </c>
      <c r="C21" s="315" t="s">
        <v>1040</v>
      </c>
      <c r="D21" s="313">
        <v>2007</v>
      </c>
      <c r="E21" s="313">
        <v>4356880</v>
      </c>
      <c r="F21" s="516" t="s">
        <v>1084</v>
      </c>
    </row>
    <row r="22" spans="1:6" s="308" customFormat="1" x14ac:dyDescent="0.15">
      <c r="A22" s="492" t="s">
        <v>1071</v>
      </c>
      <c r="B22" s="315" t="s">
        <v>1056</v>
      </c>
      <c r="C22" s="315" t="s">
        <v>1040</v>
      </c>
      <c r="D22" s="313">
        <v>2007</v>
      </c>
      <c r="E22" s="313">
        <v>1178726</v>
      </c>
      <c r="F22" s="516" t="s">
        <v>1084</v>
      </c>
    </row>
    <row r="23" spans="1:6" s="308" customFormat="1" x14ac:dyDescent="0.15">
      <c r="A23" s="492" t="s">
        <v>1072</v>
      </c>
      <c r="B23" s="315" t="s">
        <v>1056</v>
      </c>
      <c r="C23" s="315" t="s">
        <v>1040</v>
      </c>
      <c r="D23" s="313">
        <v>2007</v>
      </c>
      <c r="E23" s="313">
        <v>61455483</v>
      </c>
      <c r="F23" s="516" t="s">
        <v>1084</v>
      </c>
    </row>
    <row r="24" spans="1:6" x14ac:dyDescent="0.15">
      <c r="A24" s="68" t="s">
        <v>1061</v>
      </c>
      <c r="B24" s="315" t="s">
        <v>1056</v>
      </c>
      <c r="C24" s="315" t="s">
        <v>1040</v>
      </c>
      <c r="D24" s="313">
        <v>2007</v>
      </c>
      <c r="E24" s="145">
        <v>981291</v>
      </c>
      <c r="F24" s="516" t="s">
        <v>1085</v>
      </c>
    </row>
    <row r="25" spans="1:6" x14ac:dyDescent="0.15">
      <c r="A25" s="164" t="s">
        <v>1062</v>
      </c>
      <c r="B25" s="315" t="s">
        <v>1056</v>
      </c>
      <c r="C25" s="315" t="s">
        <v>1040</v>
      </c>
      <c r="D25" s="313">
        <v>2007</v>
      </c>
      <c r="E25" s="145">
        <v>343374</v>
      </c>
      <c r="F25" s="516" t="s">
        <v>1086</v>
      </c>
    </row>
    <row r="26" spans="1:6" x14ac:dyDescent="0.15">
      <c r="A26" s="164" t="s">
        <v>1063</v>
      </c>
      <c r="B26" s="315" t="s">
        <v>1056</v>
      </c>
      <c r="C26" s="315" t="s">
        <v>1040</v>
      </c>
      <c r="D26" s="313">
        <v>2007</v>
      </c>
      <c r="E26" s="145">
        <v>228335</v>
      </c>
      <c r="F26" s="516" t="s">
        <v>1086</v>
      </c>
    </row>
    <row r="27" spans="1:6" x14ac:dyDescent="0.15">
      <c r="A27" s="493" t="s">
        <v>1074</v>
      </c>
      <c r="B27" s="483" t="s">
        <v>31</v>
      </c>
      <c r="C27" s="483" t="s">
        <v>1040</v>
      </c>
      <c r="D27" s="484">
        <v>2007</v>
      </c>
      <c r="E27" s="510">
        <f>E10-SUM(E17:E26)</f>
        <v>235664036</v>
      </c>
      <c r="F27" s="517"/>
    </row>
    <row r="28" spans="1:6" x14ac:dyDescent="0.15">
      <c r="A28" s="494" t="s">
        <v>1075</v>
      </c>
      <c r="B28" s="499" t="s">
        <v>31</v>
      </c>
      <c r="C28" s="499" t="s">
        <v>1040</v>
      </c>
      <c r="D28" s="495"/>
      <c r="E28" s="508">
        <f>SUM(E24,E17:E21,E27)</f>
        <v>245658006</v>
      </c>
      <c r="F28" s="518"/>
    </row>
    <row r="29" spans="1:6" x14ac:dyDescent="0.15">
      <c r="A29" s="494" t="s">
        <v>1076</v>
      </c>
      <c r="B29" s="499" t="s">
        <v>31</v>
      </c>
      <c r="C29" s="499" t="s">
        <v>1040</v>
      </c>
      <c r="D29" s="495"/>
      <c r="E29" s="508">
        <f>SUM(E11,E25:E26,E22:E23)</f>
        <v>98774305</v>
      </c>
      <c r="F29" s="518"/>
    </row>
    <row r="30" spans="1:6" x14ac:dyDescent="0.15">
      <c r="A30" s="498" t="s">
        <v>1051</v>
      </c>
      <c r="B30" s="499" t="s">
        <v>31</v>
      </c>
      <c r="C30" s="499" t="s">
        <v>1040</v>
      </c>
      <c r="D30" s="495"/>
      <c r="E30" s="500">
        <f>E28/E13</f>
        <v>0.71322578676423887</v>
      </c>
      <c r="F30" s="518"/>
    </row>
    <row r="31" spans="1:6" x14ac:dyDescent="0.15">
      <c r="A31" s="486" t="s">
        <v>1052</v>
      </c>
      <c r="B31" s="487" t="s">
        <v>31</v>
      </c>
      <c r="C31" s="487" t="s">
        <v>1040</v>
      </c>
      <c r="D31" s="488"/>
      <c r="E31" s="509">
        <f>E29/E13</f>
        <v>0.28677421323576113</v>
      </c>
      <c r="F31" s="519"/>
    </row>
    <row r="32" spans="1:6" s="308" customFormat="1" x14ac:dyDescent="0.15">
      <c r="A32" s="309"/>
      <c r="B32" s="309"/>
      <c r="C32" s="309"/>
      <c r="D32" s="195"/>
      <c r="E32" s="501"/>
    </row>
    <row r="33" spans="1:6" s="308" customFormat="1" x14ac:dyDescent="0.15">
      <c r="A33" s="72" t="s">
        <v>1077</v>
      </c>
      <c r="E33" s="4"/>
    </row>
    <row r="34" spans="1:6" x14ac:dyDescent="0.15">
      <c r="A34" s="299" t="s">
        <v>1078</v>
      </c>
      <c r="B34" s="63" t="s">
        <v>1056</v>
      </c>
      <c r="C34" s="63" t="s">
        <v>1040</v>
      </c>
      <c r="D34" s="48">
        <v>2007</v>
      </c>
      <c r="E34" s="502">
        <v>243639619</v>
      </c>
      <c r="F34" s="515" t="s">
        <v>1090</v>
      </c>
    </row>
    <row r="35" spans="1:6" x14ac:dyDescent="0.15">
      <c r="A35" s="68" t="s">
        <v>1079</v>
      </c>
      <c r="B35" s="315" t="s">
        <v>1056</v>
      </c>
      <c r="C35" s="315" t="s">
        <v>1040</v>
      </c>
      <c r="D35" s="313">
        <v>2007</v>
      </c>
      <c r="E35" s="503">
        <v>4682590</v>
      </c>
      <c r="F35" s="472" t="s">
        <v>1091</v>
      </c>
    </row>
    <row r="36" spans="1:6" x14ac:dyDescent="0.15">
      <c r="A36" s="68" t="s">
        <v>1080</v>
      </c>
      <c r="B36" s="315" t="s">
        <v>1056</v>
      </c>
      <c r="C36" s="315" t="s">
        <v>1040</v>
      </c>
      <c r="D36" s="313">
        <v>2007</v>
      </c>
      <c r="E36" s="503">
        <f>SUM(E24,E17:E20)</f>
        <v>5637090</v>
      </c>
      <c r="F36" s="38"/>
    </row>
    <row r="37" spans="1:6" x14ac:dyDescent="0.15">
      <c r="A37" s="504" t="s">
        <v>1077</v>
      </c>
      <c r="B37" s="505"/>
      <c r="C37" s="505"/>
      <c r="D37" s="505"/>
      <c r="E37" s="506">
        <f>SUM(E34:E36)/E28</f>
        <v>1.0337920718936391</v>
      </c>
      <c r="F37" s="520"/>
    </row>
    <row r="38" spans="1:6" s="308" customFormat="1" x14ac:dyDescent="0.15">
      <c r="A38" s="15"/>
      <c r="E38" s="4"/>
    </row>
    <row r="39" spans="1:6" s="308" customFormat="1" x14ac:dyDescent="0.15">
      <c r="A39" s="72" t="s">
        <v>1049</v>
      </c>
      <c r="E39" s="4"/>
    </row>
    <row r="40" spans="1:6" x14ac:dyDescent="0.15">
      <c r="A40" s="299" t="s">
        <v>1064</v>
      </c>
      <c r="B40" s="63" t="s">
        <v>1056</v>
      </c>
      <c r="C40" s="63" t="s">
        <v>1040</v>
      </c>
      <c r="D40" s="48">
        <v>2007</v>
      </c>
      <c r="E40" s="478">
        <v>10202566</v>
      </c>
      <c r="F40" s="514" t="s">
        <v>1084</v>
      </c>
    </row>
    <row r="41" spans="1:6" s="308" customFormat="1" x14ac:dyDescent="0.15">
      <c r="A41" s="164" t="s">
        <v>1065</v>
      </c>
      <c r="B41" s="315" t="s">
        <v>1056</v>
      </c>
      <c r="C41" s="315" t="s">
        <v>1040</v>
      </c>
      <c r="D41" s="313">
        <v>2007</v>
      </c>
      <c r="E41" s="480">
        <v>290672</v>
      </c>
      <c r="F41" s="507" t="s">
        <v>1084</v>
      </c>
    </row>
    <row r="42" spans="1:6" s="308" customFormat="1" x14ac:dyDescent="0.15">
      <c r="A42" s="164" t="s">
        <v>1066</v>
      </c>
      <c r="B42" s="315" t="s">
        <v>1056</v>
      </c>
      <c r="C42" s="315" t="s">
        <v>1040</v>
      </c>
      <c r="D42" s="313">
        <v>2007</v>
      </c>
      <c r="E42" s="480">
        <v>359846</v>
      </c>
      <c r="F42" s="507" t="s">
        <v>1084</v>
      </c>
    </row>
    <row r="43" spans="1:6" s="308" customFormat="1" x14ac:dyDescent="0.15">
      <c r="A43" s="482" t="s">
        <v>1088</v>
      </c>
      <c r="B43" s="483" t="s">
        <v>31</v>
      </c>
      <c r="C43" s="483" t="s">
        <v>1040</v>
      </c>
      <c r="D43" s="484"/>
      <c r="E43" s="485">
        <f>SUM(E40:E42)+E24</f>
        <v>11834375</v>
      </c>
      <c r="F43" s="511"/>
    </row>
    <row r="44" spans="1:6" s="308" customFormat="1" x14ac:dyDescent="0.15">
      <c r="A44" s="498" t="s">
        <v>1092</v>
      </c>
      <c r="B44" s="499" t="s">
        <v>31</v>
      </c>
      <c r="C44" s="499" t="s">
        <v>1040</v>
      </c>
      <c r="D44" s="495"/>
      <c r="E44" s="496">
        <f>E13*E30*E37</f>
        <v>253959299.00000003</v>
      </c>
      <c r="F44" s="512"/>
    </row>
    <row r="45" spans="1:6" s="308" customFormat="1" x14ac:dyDescent="0.15">
      <c r="A45" s="498" t="s">
        <v>1093</v>
      </c>
      <c r="B45" s="499" t="s">
        <v>31</v>
      </c>
      <c r="C45" s="499" t="s">
        <v>1040</v>
      </c>
      <c r="D45" s="495"/>
      <c r="E45" s="496">
        <f>E44-E43</f>
        <v>242124924.00000003</v>
      </c>
      <c r="F45" s="512"/>
    </row>
    <row r="46" spans="1:6" x14ac:dyDescent="0.15">
      <c r="A46" s="498" t="s">
        <v>1094</v>
      </c>
      <c r="B46" s="499" t="s">
        <v>31</v>
      </c>
      <c r="C46" s="499" t="s">
        <v>1060</v>
      </c>
      <c r="D46" s="495"/>
      <c r="E46" s="497">
        <f>E43/E45</f>
        <v>4.8877144923750185E-2</v>
      </c>
      <c r="F46" s="512"/>
    </row>
    <row r="47" spans="1:6" s="308" customFormat="1" x14ac:dyDescent="0.15">
      <c r="A47" s="498" t="s">
        <v>1098</v>
      </c>
      <c r="B47" s="499" t="s">
        <v>31</v>
      </c>
      <c r="C47" s="499" t="s">
        <v>1060</v>
      </c>
      <c r="D47" s="495"/>
      <c r="E47" s="497">
        <f>E45/E44</f>
        <v>0.95340050533058052</v>
      </c>
      <c r="F47" s="512"/>
    </row>
    <row r="48" spans="1:6" x14ac:dyDescent="0.15">
      <c r="A48" s="498" t="s">
        <v>1089</v>
      </c>
      <c r="B48" s="499" t="s">
        <v>31</v>
      </c>
      <c r="C48" s="499" t="s">
        <v>1040</v>
      </c>
      <c r="D48" s="495"/>
      <c r="E48" s="496">
        <f>SUM(E22,E25:E26)</f>
        <v>1750435</v>
      </c>
      <c r="F48" s="512"/>
    </row>
    <row r="49" spans="1:6" x14ac:dyDescent="0.15">
      <c r="A49" s="498" t="s">
        <v>1095</v>
      </c>
      <c r="B49" s="499" t="s">
        <v>31</v>
      </c>
      <c r="C49" s="499" t="s">
        <v>1040</v>
      </c>
      <c r="D49" s="495"/>
      <c r="E49" s="496">
        <f>E13*E31</f>
        <v>98774305</v>
      </c>
      <c r="F49" s="512"/>
    </row>
    <row r="50" spans="1:6" x14ac:dyDescent="0.15">
      <c r="A50" s="498" t="s">
        <v>1096</v>
      </c>
      <c r="B50" s="499" t="s">
        <v>31</v>
      </c>
      <c r="C50" s="499" t="s">
        <v>1040</v>
      </c>
      <c r="D50" s="495"/>
      <c r="E50" s="496">
        <f>E49-E48</f>
        <v>97023870</v>
      </c>
      <c r="F50" s="512"/>
    </row>
    <row r="51" spans="1:6" s="308" customFormat="1" x14ac:dyDescent="0.15">
      <c r="A51" s="498" t="s">
        <v>1097</v>
      </c>
      <c r="B51" s="499" t="s">
        <v>31</v>
      </c>
      <c r="C51" s="499" t="s">
        <v>1060</v>
      </c>
      <c r="D51" s="495"/>
      <c r="E51" s="497">
        <f>E48/E49</f>
        <v>1.772156230307062E-2</v>
      </c>
      <c r="F51" s="512"/>
    </row>
    <row r="52" spans="1:6" s="308" customFormat="1" x14ac:dyDescent="0.15">
      <c r="A52" s="486" t="s">
        <v>1099</v>
      </c>
      <c r="B52" s="487" t="s">
        <v>31</v>
      </c>
      <c r="C52" s="487" t="s">
        <v>1060</v>
      </c>
      <c r="D52" s="488"/>
      <c r="E52" s="489">
        <f>E50/E49</f>
        <v>0.98227843769692935</v>
      </c>
      <c r="F52" s="513"/>
    </row>
    <row r="54" spans="1:6" x14ac:dyDescent="0.15">
      <c r="A54" s="72" t="s">
        <v>347</v>
      </c>
    </row>
    <row r="55" spans="1:6" x14ac:dyDescent="0.15">
      <c r="A55" s="299" t="s">
        <v>352</v>
      </c>
      <c r="B55" s="48" t="s">
        <v>1100</v>
      </c>
      <c r="C55" s="48" t="s">
        <v>1040</v>
      </c>
      <c r="D55" s="48">
        <v>2007</v>
      </c>
      <c r="E55" s="521">
        <f>612256.738700312*1000</f>
        <v>612256738.70031202</v>
      </c>
      <c r="F55" s="100" t="s">
        <v>1101</v>
      </c>
    </row>
    <row r="56" spans="1:6" x14ac:dyDescent="0.15">
      <c r="A56" s="68" t="s">
        <v>1053</v>
      </c>
      <c r="B56" s="313" t="s">
        <v>1100</v>
      </c>
      <c r="C56" s="313" t="s">
        <v>1040</v>
      </c>
      <c r="D56" s="313">
        <v>2007</v>
      </c>
      <c r="E56" s="522">
        <f>127102.989*1000</f>
        <v>127102989</v>
      </c>
      <c r="F56" s="38" t="s">
        <v>1102</v>
      </c>
    </row>
    <row r="57" spans="1:6" x14ac:dyDescent="0.15">
      <c r="A57" s="504" t="s">
        <v>1103</v>
      </c>
      <c r="B57" s="505" t="s">
        <v>31</v>
      </c>
      <c r="C57" s="505" t="s">
        <v>1040</v>
      </c>
      <c r="D57" s="505">
        <v>2007</v>
      </c>
      <c r="E57" s="523">
        <f>SUM(E55:E56)</f>
        <v>739359727.70031202</v>
      </c>
      <c r="F57" s="520"/>
    </row>
    <row r="59" spans="1:6" ht="14" thickBot="1" x14ac:dyDescent="0.2">
      <c r="A59" s="1" t="s">
        <v>1104</v>
      </c>
    </row>
    <row r="60" spans="1:6" x14ac:dyDescent="0.15">
      <c r="A60" s="524" t="s">
        <v>1105</v>
      </c>
      <c r="B60" s="525" t="s">
        <v>653</v>
      </c>
      <c r="C60" s="525" t="s">
        <v>1040</v>
      </c>
      <c r="D60" s="526">
        <v>2007</v>
      </c>
      <c r="E60" s="527">
        <f>E45</f>
        <v>242124924.00000003</v>
      </c>
      <c r="F60" s="528" t="s">
        <v>1108</v>
      </c>
    </row>
    <row r="61" spans="1:6" x14ac:dyDescent="0.15">
      <c r="A61" s="529" t="s">
        <v>1106</v>
      </c>
      <c r="B61" s="530" t="s">
        <v>653</v>
      </c>
      <c r="C61" s="530" t="s">
        <v>1040</v>
      </c>
      <c r="D61" s="531">
        <v>2007</v>
      </c>
      <c r="E61" s="532">
        <f>(E45/E37)+E50</f>
        <v>331234337.0589028</v>
      </c>
      <c r="F61" s="533" t="s">
        <v>1108</v>
      </c>
    </row>
    <row r="62" spans="1:6" ht="14" thickBot="1" x14ac:dyDescent="0.2">
      <c r="A62" s="534" t="s">
        <v>1107</v>
      </c>
      <c r="B62" s="535" t="s">
        <v>653</v>
      </c>
      <c r="C62" s="535" t="s">
        <v>1040</v>
      </c>
      <c r="D62" s="536">
        <v>2007</v>
      </c>
      <c r="E62" s="537">
        <f>E57</f>
        <v>739359727.70031202</v>
      </c>
      <c r="F62" s="538" t="s">
        <v>1108</v>
      </c>
    </row>
  </sheetData>
  <mergeCells count="1">
    <mergeCell ref="A2: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topLeftCell="A14" zoomScale="75" zoomScaleNormal="75" zoomScalePageLayoutView="75" workbookViewId="0">
      <selection activeCell="K14" sqref="K14"/>
    </sheetView>
  </sheetViews>
  <sheetFormatPr baseColWidth="10" defaultColWidth="8.83203125" defaultRowHeight="13" x14ac:dyDescent="0.15"/>
  <cols>
    <col min="1" max="1" width="24.33203125" bestFit="1" customWidth="1"/>
    <col min="2" max="2" width="24.5" customWidth="1"/>
    <col min="3" max="3" width="18.6640625" bestFit="1" customWidth="1"/>
    <col min="4" max="4" width="18" bestFit="1" customWidth="1"/>
    <col min="5" max="5" width="12.6640625" customWidth="1"/>
    <col min="6" max="6" width="16.33203125" bestFit="1" customWidth="1"/>
    <col min="7" max="8" width="16.33203125" customWidth="1"/>
    <col min="11" max="11" width="13.5" bestFit="1" customWidth="1"/>
    <col min="12" max="12" width="12.83203125" bestFit="1" customWidth="1"/>
  </cols>
  <sheetData>
    <row r="1" spans="1:10" ht="14" thickBot="1" x14ac:dyDescent="0.2">
      <c r="A1" s="1" t="s">
        <v>1376</v>
      </c>
    </row>
    <row r="2" spans="1:10" x14ac:dyDescent="0.15">
      <c r="A2" s="836" t="s">
        <v>363</v>
      </c>
      <c r="B2" s="837"/>
      <c r="C2" s="838"/>
    </row>
    <row r="3" spans="1:10" x14ac:dyDescent="0.15">
      <c r="A3" s="839"/>
      <c r="B3" s="840"/>
      <c r="C3" s="841"/>
    </row>
    <row r="4" spans="1:10" ht="14" thickBot="1" x14ac:dyDescent="0.2">
      <c r="A4" s="842"/>
      <c r="B4" s="843"/>
      <c r="C4" s="844"/>
    </row>
    <row r="5" spans="1:10" ht="14" thickBot="1" x14ac:dyDescent="0.2">
      <c r="A5" s="116"/>
      <c r="B5" s="116"/>
      <c r="C5" s="116"/>
    </row>
    <row r="6" spans="1:10" x14ac:dyDescent="0.15">
      <c r="A6" s="131" t="s">
        <v>368</v>
      </c>
      <c r="B6" s="132" t="s">
        <v>365</v>
      </c>
      <c r="C6" s="133" t="s">
        <v>712</v>
      </c>
    </row>
    <row r="7" spans="1:10" ht="14" thickBot="1" x14ac:dyDescent="0.2">
      <c r="A7" s="128" t="s">
        <v>351</v>
      </c>
      <c r="B7" s="129">
        <f>MIN('Land availability'!E60/'Users diet'!F54,'Land availability'!E61/SUM(F55,G54),SUM('Land availability'!E61:E62)/SUM('Users diet'!F55,G54:H54))</f>
        <v>734455374.12076747</v>
      </c>
      <c r="C7" s="130">
        <f>B7/308745538</f>
        <v>2.3788372096919743</v>
      </c>
    </row>
    <row r="8" spans="1:10" ht="14" thickBot="1" x14ac:dyDescent="0.2">
      <c r="A8" s="117"/>
      <c r="B8" s="46"/>
      <c r="C8" s="115"/>
    </row>
    <row r="9" spans="1:10" x14ac:dyDescent="0.15">
      <c r="A9" s="123" t="s">
        <v>369</v>
      </c>
      <c r="B9" s="127" t="s">
        <v>366</v>
      </c>
      <c r="C9" s="124" t="s">
        <v>367</v>
      </c>
    </row>
    <row r="10" spans="1:10" x14ac:dyDescent="0.15">
      <c r="A10" s="125" t="s">
        <v>683</v>
      </c>
      <c r="B10" s="121">
        <f>B7*F54</f>
        <v>241771844.1910359</v>
      </c>
      <c r="C10" s="119">
        <f>B10/'Land availability'!E60</f>
        <v>0.998541745297712</v>
      </c>
    </row>
    <row r="11" spans="1:10" x14ac:dyDescent="0.15">
      <c r="A11" s="125" t="s">
        <v>691</v>
      </c>
      <c r="B11" s="121">
        <f>(B7*F55)+(B7*G54)</f>
        <v>331234337.05890286</v>
      </c>
      <c r="C11" s="119">
        <f>B11/'Land availability'!E61</f>
        <v>1.0000000000000002</v>
      </c>
    </row>
    <row r="12" spans="1:10" ht="14" thickBot="1" x14ac:dyDescent="0.2">
      <c r="A12" s="126" t="s">
        <v>347</v>
      </c>
      <c r="B12" s="122">
        <f>B7*H54</f>
        <v>642511288.9647398</v>
      </c>
      <c r="C12" s="120">
        <f>B12/'Land availability'!E62</f>
        <v>0.86901039493074983</v>
      </c>
    </row>
    <row r="13" spans="1:10" ht="14" thickBot="1" x14ac:dyDescent="0.2">
      <c r="A13" s="46"/>
      <c r="B13" s="134"/>
      <c r="C13" s="118"/>
    </row>
    <row r="14" spans="1:10" x14ac:dyDescent="0.15">
      <c r="A14" s="137" t="s">
        <v>370</v>
      </c>
      <c r="B14" s="138" t="s">
        <v>40</v>
      </c>
      <c r="C14" s="139" t="s">
        <v>1</v>
      </c>
    </row>
    <row r="15" spans="1:10" x14ac:dyDescent="0.15">
      <c r="A15" s="135" t="s">
        <v>360</v>
      </c>
      <c r="B15" s="108" t="s">
        <v>361</v>
      </c>
      <c r="C15" s="143">
        <f>SUMPRODUCT('Nutrient composition'!H7:H216,'Food requirements'!D7:D216)</f>
        <v>2152.4677353578772</v>
      </c>
    </row>
    <row r="16" spans="1:10" x14ac:dyDescent="0.15">
      <c r="A16" s="135" t="s">
        <v>14</v>
      </c>
      <c r="B16" s="108" t="s">
        <v>362</v>
      </c>
      <c r="C16" s="142">
        <f>SUMPRODUCT('Nutrient composition'!I7:I216,'Food requirements'!D7:D216)</f>
        <v>85.665165202086797</v>
      </c>
      <c r="J16" s="4"/>
    </row>
    <row r="17" spans="1:11" x14ac:dyDescent="0.15">
      <c r="A17" s="135" t="s">
        <v>358</v>
      </c>
      <c r="B17" s="108" t="s">
        <v>362</v>
      </c>
      <c r="C17" s="142">
        <f>SUMPRODUCT('Nutrient composition'!J7:J216,'Food requirements'!D7:D216)</f>
        <v>65.928827400194294</v>
      </c>
      <c r="J17" s="4"/>
    </row>
    <row r="18" spans="1:11" ht="14" thickBot="1" x14ac:dyDescent="0.2">
      <c r="A18" s="136" t="s">
        <v>359</v>
      </c>
      <c r="B18" s="109" t="s">
        <v>362</v>
      </c>
      <c r="C18" s="144">
        <f>SUMPRODUCT('Nutrient composition'!K7:K216,'Food requirements'!D7:D216)</f>
        <v>318.3648363528909</v>
      </c>
      <c r="J18" s="4"/>
    </row>
    <row r="20" spans="1:11" x14ac:dyDescent="0.15">
      <c r="C20" s="87"/>
    </row>
    <row r="21" spans="1:11" x14ac:dyDescent="0.15">
      <c r="A21" s="1" t="s">
        <v>364</v>
      </c>
    </row>
    <row r="22" spans="1:11" ht="40" thickBot="1" x14ac:dyDescent="0.2">
      <c r="A22" s="50" t="s">
        <v>3</v>
      </c>
      <c r="B22" s="50" t="s">
        <v>18</v>
      </c>
      <c r="C22" s="50" t="s">
        <v>0</v>
      </c>
      <c r="D22" s="30" t="s">
        <v>19</v>
      </c>
      <c r="E22" s="110" t="s">
        <v>1</v>
      </c>
      <c r="F22" s="30" t="s">
        <v>687</v>
      </c>
      <c r="G22" s="30" t="s">
        <v>688</v>
      </c>
      <c r="H22" s="30" t="s">
        <v>689</v>
      </c>
      <c r="I22" s="114"/>
    </row>
    <row r="23" spans="1:11" ht="14" thickBot="1" x14ac:dyDescent="0.2">
      <c r="A23" t="s">
        <v>4</v>
      </c>
      <c r="B23" s="15" t="s">
        <v>328</v>
      </c>
      <c r="C23" s="15" t="s">
        <v>43</v>
      </c>
      <c r="D23" s="9">
        <f>'Dietary recommendations'!U44</f>
        <v>7.0133504095614141</v>
      </c>
      <c r="E23" s="148">
        <v>7.01</v>
      </c>
      <c r="F23" s="16">
        <f>SUM('Land requirements'!G7:G15)</f>
        <v>9.0627156455105551E-2</v>
      </c>
      <c r="G23" s="16"/>
      <c r="H23" s="16"/>
      <c r="I23" s="49"/>
      <c r="K23" s="15"/>
    </row>
    <row r="24" spans="1:11" ht="14" thickBot="1" x14ac:dyDescent="0.2">
      <c r="A24" t="s">
        <v>5</v>
      </c>
      <c r="B24" s="15" t="s">
        <v>353</v>
      </c>
      <c r="C24" s="15" t="s">
        <v>122</v>
      </c>
      <c r="D24" s="9">
        <f>'Dietary recommendations'!W44</f>
        <v>2.7879077363769396</v>
      </c>
      <c r="E24" s="96">
        <f>SUM(E25:E29)</f>
        <v>2.79</v>
      </c>
      <c r="F24" s="97">
        <f>SUM(F25:F29)</f>
        <v>3.3136966719578442E-2</v>
      </c>
      <c r="G24" s="97"/>
      <c r="H24" s="97"/>
      <c r="I24" s="49"/>
      <c r="K24" s="15"/>
    </row>
    <row r="25" spans="1:11" x14ac:dyDescent="0.15">
      <c r="B25" s="15" t="s">
        <v>372</v>
      </c>
      <c r="C25" s="15" t="s">
        <v>122</v>
      </c>
      <c r="D25" s="9">
        <f>'Dietary recommendations'!X44/7</f>
        <v>0.2640090152860346</v>
      </c>
      <c r="E25" s="111">
        <v>0.26</v>
      </c>
      <c r="F25" s="16">
        <f>SUM('Land requirements'!G16:G25)</f>
        <v>1.4662107792696359E-3</v>
      </c>
      <c r="G25" s="16"/>
      <c r="H25" s="16"/>
      <c r="I25" s="49"/>
    </row>
    <row r="26" spans="1:11" x14ac:dyDescent="0.15">
      <c r="B26" s="15" t="s">
        <v>1225</v>
      </c>
      <c r="C26" s="15" t="s">
        <v>122</v>
      </c>
      <c r="D26" s="9">
        <f>'Dietary recommendations'!Y44/7</f>
        <v>0.821835696833628</v>
      </c>
      <c r="E26" s="112">
        <v>0.82</v>
      </c>
      <c r="F26" s="16">
        <f>SUM('Land requirements'!G26:G33)</f>
        <v>6.3758881052783899E-3</v>
      </c>
      <c r="G26" s="16"/>
      <c r="H26" s="16"/>
      <c r="I26" s="49"/>
      <c r="K26" s="15"/>
    </row>
    <row r="27" spans="1:11" x14ac:dyDescent="0.15">
      <c r="B27" s="15" t="s">
        <v>373</v>
      </c>
      <c r="C27" s="15" t="s">
        <v>122</v>
      </c>
      <c r="D27" s="9">
        <f>'Dietary recommendations'!Z44/7</f>
        <v>0.25637523290204867</v>
      </c>
      <c r="E27" s="112">
        <v>0.26</v>
      </c>
      <c r="F27" s="16">
        <f>SUM('Land requirements'!G34:G35)</f>
        <v>1.0078335169577566E-2</v>
      </c>
      <c r="G27" s="16"/>
      <c r="H27" s="16"/>
      <c r="I27" s="49"/>
      <c r="K27" s="15"/>
    </row>
    <row r="28" spans="1:11" x14ac:dyDescent="0.15">
      <c r="B28" s="15" t="s">
        <v>374</v>
      </c>
      <c r="C28" s="15" t="s">
        <v>122</v>
      </c>
      <c r="D28" s="9">
        <f>'Dietary recommendations'!AA44/7</f>
        <v>0.79846475151838281</v>
      </c>
      <c r="E28" s="112">
        <v>0.8</v>
      </c>
      <c r="F28" s="16">
        <f>SUM('Land requirements'!G36:G46)</f>
        <v>9.6370349102672132E-3</v>
      </c>
      <c r="G28" s="16"/>
      <c r="H28" s="16"/>
      <c r="I28" s="49"/>
    </row>
    <row r="29" spans="1:11" x14ac:dyDescent="0.15">
      <c r="B29" s="15" t="s">
        <v>375</v>
      </c>
      <c r="C29" s="15" t="s">
        <v>122</v>
      </c>
      <c r="D29" s="9">
        <f>'Dietary recommendations'!AB44/7</f>
        <v>0.64722303983684581</v>
      </c>
      <c r="E29" s="112">
        <v>0.65</v>
      </c>
      <c r="F29" s="16">
        <f>SUM('Land requirements'!G47:G73)</f>
        <v>5.5794977551856381E-3</v>
      </c>
      <c r="G29" s="16"/>
      <c r="H29" s="16"/>
      <c r="I29" s="49"/>
    </row>
    <row r="30" spans="1:11" ht="14" thickBot="1" x14ac:dyDescent="0.2">
      <c r="A30" t="s">
        <v>6</v>
      </c>
      <c r="B30" s="15" t="s">
        <v>329</v>
      </c>
      <c r="C30" s="15" t="s">
        <v>122</v>
      </c>
      <c r="D30" s="9">
        <f>'Dietary recommendations'!AC44</f>
        <v>1.9204866867088273</v>
      </c>
      <c r="E30" s="443">
        <v>1.92</v>
      </c>
      <c r="F30" s="16">
        <f>SUM('Land requirements'!G74:G132)</f>
        <v>2.6699013255449919E-2</v>
      </c>
      <c r="G30" s="16"/>
      <c r="H30" s="16"/>
      <c r="I30" s="49"/>
    </row>
    <row r="31" spans="1:11" x14ac:dyDescent="0.15">
      <c r="A31" t="s">
        <v>7</v>
      </c>
      <c r="B31" s="15" t="s">
        <v>330</v>
      </c>
      <c r="C31" s="15" t="s">
        <v>122</v>
      </c>
      <c r="D31" s="9">
        <f>'Dietary recommendations'!AD44</f>
        <v>2.8920077995964051</v>
      </c>
      <c r="E31" s="444">
        <f>SUM(E33:E35)</f>
        <v>2</v>
      </c>
      <c r="F31" s="16">
        <f>SUM(F32:F35)</f>
        <v>3.0169643266074665E-2</v>
      </c>
      <c r="G31" s="16">
        <f>SUM(G32:G35)</f>
        <v>3.6275479668144976E-2</v>
      </c>
      <c r="H31" s="16">
        <f>SUM(H32:H35)</f>
        <v>0</v>
      </c>
      <c r="I31" s="49"/>
    </row>
    <row r="32" spans="1:11" s="308" customFormat="1" ht="14" thickBot="1" x14ac:dyDescent="0.2">
      <c r="B32" s="15" t="s">
        <v>1240</v>
      </c>
      <c r="C32" s="15" t="s">
        <v>122</v>
      </c>
      <c r="D32" s="28" t="s">
        <v>335</v>
      </c>
      <c r="E32" s="684">
        <f>SUM(E33:E34)</f>
        <v>2</v>
      </c>
      <c r="F32" s="97">
        <f>SUM('Land requirements'!G135:G137)</f>
        <v>3.0169643266074665E-2</v>
      </c>
      <c r="G32" s="97">
        <f>SUM('Land requirements'!H133:H134)</f>
        <v>3.6275479668144976E-2</v>
      </c>
      <c r="H32" s="97">
        <f>SUM('Land requirements'!I133:I137)</f>
        <v>0</v>
      </c>
      <c r="I32" s="313"/>
    </row>
    <row r="33" spans="1:9" s="308" customFormat="1" x14ac:dyDescent="0.15">
      <c r="B33" s="311" t="s">
        <v>1241</v>
      </c>
      <c r="C33" s="311" t="s">
        <v>122</v>
      </c>
      <c r="D33" s="717" t="s">
        <v>335</v>
      </c>
      <c r="E33" s="111">
        <v>1</v>
      </c>
      <c r="F33" s="716" t="s">
        <v>68</v>
      </c>
      <c r="G33" s="716" t="s">
        <v>68</v>
      </c>
      <c r="H33" s="716" t="s">
        <v>68</v>
      </c>
      <c r="I33" s="313"/>
    </row>
    <row r="34" spans="1:9" s="308" customFormat="1" x14ac:dyDescent="0.15">
      <c r="B34" s="311" t="s">
        <v>1242</v>
      </c>
      <c r="C34" s="311" t="s">
        <v>122</v>
      </c>
      <c r="D34" s="717" t="s">
        <v>335</v>
      </c>
      <c r="E34" s="112">
        <v>1</v>
      </c>
      <c r="F34" s="716" t="s">
        <v>68</v>
      </c>
      <c r="G34" s="716" t="s">
        <v>68</v>
      </c>
      <c r="H34" s="716" t="s">
        <v>68</v>
      </c>
      <c r="I34" s="313"/>
    </row>
    <row r="35" spans="1:9" s="308" customFormat="1" ht="14" thickBot="1" x14ac:dyDescent="0.2">
      <c r="B35" s="15" t="s">
        <v>785</v>
      </c>
      <c r="C35" s="15" t="s">
        <v>122</v>
      </c>
      <c r="D35" s="28" t="s">
        <v>335</v>
      </c>
      <c r="E35" s="113">
        <v>0</v>
      </c>
      <c r="F35" s="16">
        <f>'Land requirements'!G138</f>
        <v>0</v>
      </c>
      <c r="G35" s="16"/>
      <c r="H35" s="16"/>
      <c r="I35" s="313"/>
    </row>
    <row r="36" spans="1:9" ht="14" thickBot="1" x14ac:dyDescent="0.2">
      <c r="A36" t="s">
        <v>14</v>
      </c>
      <c r="B36" s="15" t="s">
        <v>334</v>
      </c>
      <c r="C36" s="15" t="s">
        <v>332</v>
      </c>
      <c r="D36" s="9">
        <f>'Dietary recommendations'!AE44</f>
        <v>5.7977613055220143</v>
      </c>
      <c r="E36" s="75">
        <f>SUM(E37:E45)</f>
        <v>5.7799999999999994</v>
      </c>
      <c r="F36" s="16">
        <f>SUM(F37:F45)</f>
        <v>0.13332392812515093</v>
      </c>
      <c r="G36" s="16">
        <f>SUM(G37:G45)</f>
        <v>8.1640285062968707E-2</v>
      </c>
      <c r="H36" s="16">
        <f>SUM(H37:H45)</f>
        <v>0.87481324475827282</v>
      </c>
      <c r="I36" s="49"/>
    </row>
    <row r="37" spans="1:9" x14ac:dyDescent="0.15">
      <c r="B37" s="15" t="s">
        <v>373</v>
      </c>
      <c r="C37" s="15" t="s">
        <v>332</v>
      </c>
      <c r="D37" s="28" t="s">
        <v>335</v>
      </c>
      <c r="E37" s="149">
        <v>1</v>
      </c>
      <c r="F37" s="16">
        <f>SUM('Land requirements'!G140:G141)</f>
        <v>9.6907068938245841E-3</v>
      </c>
      <c r="G37" s="16"/>
      <c r="H37" s="16"/>
      <c r="I37" s="49"/>
    </row>
    <row r="38" spans="1:9" x14ac:dyDescent="0.15">
      <c r="B38" s="15" t="s">
        <v>376</v>
      </c>
      <c r="C38" s="15" t="s">
        <v>332</v>
      </c>
      <c r="D38" s="28" t="s">
        <v>335</v>
      </c>
      <c r="E38" s="112">
        <v>1</v>
      </c>
      <c r="F38" s="16">
        <f>SUM('Land requirements'!G169:G177)</f>
        <v>5.3406576444112808E-3</v>
      </c>
      <c r="G38" s="16"/>
      <c r="H38" s="16"/>
      <c r="I38" s="49"/>
    </row>
    <row r="39" spans="1:9" x14ac:dyDescent="0.15">
      <c r="A39" s="308"/>
      <c r="B39" s="15" t="s">
        <v>786</v>
      </c>
      <c r="C39" s="15" t="s">
        <v>332</v>
      </c>
      <c r="D39" s="28" t="s">
        <v>335</v>
      </c>
      <c r="E39" s="112">
        <v>0.5</v>
      </c>
      <c r="F39" s="97">
        <f>'Land requirements'!G139</f>
        <v>4.9099148288665913E-3</v>
      </c>
      <c r="G39" s="97"/>
      <c r="H39" s="97"/>
      <c r="I39" s="49"/>
    </row>
    <row r="40" spans="1:9" ht="13.5" customHeight="1" x14ac:dyDescent="0.15">
      <c r="A40" s="46"/>
      <c r="B40" s="15" t="s">
        <v>377</v>
      </c>
      <c r="C40" s="15" t="s">
        <v>332</v>
      </c>
      <c r="D40" s="28" t="s">
        <v>335</v>
      </c>
      <c r="E40" s="687">
        <v>0.75</v>
      </c>
      <c r="F40" s="16">
        <f>SUM('Land requirements'!G142:G148)</f>
        <v>2.2636482381933276E-2</v>
      </c>
      <c r="G40" s="16">
        <f>SUM('Land requirements'!H142:H150)</f>
        <v>8.1640285062968707E-2</v>
      </c>
      <c r="H40" s="16">
        <f>SUM('Land requirements'!I142:I150)</f>
        <v>0.87481324475827282</v>
      </c>
      <c r="I40" s="49"/>
    </row>
    <row r="41" spans="1:9" x14ac:dyDescent="0.15">
      <c r="A41" s="46"/>
      <c r="B41" s="15" t="s">
        <v>379</v>
      </c>
      <c r="C41" s="15" t="s">
        <v>332</v>
      </c>
      <c r="D41" s="28" t="s">
        <v>335</v>
      </c>
      <c r="E41" s="687">
        <v>0.75</v>
      </c>
      <c r="F41" s="16">
        <f>SUM('Land requirements'!G151:G152)</f>
        <v>3.3645927053942613E-2</v>
      </c>
      <c r="G41" s="16"/>
      <c r="H41" s="16"/>
      <c r="I41" s="49"/>
    </row>
    <row r="42" spans="1:9" x14ac:dyDescent="0.15">
      <c r="A42" s="46"/>
      <c r="B42" s="15" t="s">
        <v>378</v>
      </c>
      <c r="C42" s="15" t="s">
        <v>332</v>
      </c>
      <c r="D42" s="28" t="s">
        <v>335</v>
      </c>
      <c r="E42" s="687">
        <v>0.6</v>
      </c>
      <c r="F42" s="16">
        <f>SUM('Land requirements'!G156:G157)</f>
        <v>2.9591774235124615E-2</v>
      </c>
      <c r="G42" s="16"/>
      <c r="H42" s="16"/>
      <c r="I42" s="49"/>
    </row>
    <row r="43" spans="1:9" x14ac:dyDescent="0.15">
      <c r="A43" s="46"/>
      <c r="B43" s="15" t="s">
        <v>620</v>
      </c>
      <c r="C43" s="15" t="s">
        <v>332</v>
      </c>
      <c r="D43" s="28" t="s">
        <v>335</v>
      </c>
      <c r="E43" s="687">
        <v>0.2</v>
      </c>
      <c r="F43" s="97">
        <f>SUM('Land requirements'!G158:G159)</f>
        <v>8.5615876475309445E-3</v>
      </c>
      <c r="G43" s="97"/>
      <c r="H43" s="97"/>
      <c r="I43" s="49"/>
    </row>
    <row r="44" spans="1:9" x14ac:dyDescent="0.15">
      <c r="B44" s="15" t="s">
        <v>380</v>
      </c>
      <c r="C44" s="15" t="s">
        <v>332</v>
      </c>
      <c r="D44" s="28" t="s">
        <v>335</v>
      </c>
      <c r="E44" s="687">
        <v>0.5</v>
      </c>
      <c r="F44" s="16">
        <f>SUM('Land requirements'!G167:G168)</f>
        <v>1.8946877439517038E-2</v>
      </c>
      <c r="G44" s="16"/>
      <c r="H44" s="16"/>
      <c r="I44" s="49"/>
    </row>
    <row r="45" spans="1:9" s="308" customFormat="1" ht="14" thickBot="1" x14ac:dyDescent="0.2">
      <c r="A45"/>
      <c r="B45" s="15" t="s">
        <v>381</v>
      </c>
      <c r="C45" s="15" t="s">
        <v>332</v>
      </c>
      <c r="D45" s="28" t="s">
        <v>335</v>
      </c>
      <c r="E45" s="113">
        <v>0.48</v>
      </c>
      <c r="F45" s="97">
        <f>SUM('Land requirements'!G160:G166)</f>
        <v>0</v>
      </c>
      <c r="G45" s="97"/>
      <c r="H45" s="97"/>
      <c r="I45" s="313"/>
    </row>
    <row r="46" spans="1:9" x14ac:dyDescent="0.15">
      <c r="A46" t="s">
        <v>8</v>
      </c>
      <c r="B46" s="311" t="s">
        <v>1237</v>
      </c>
      <c r="C46" s="311" t="s">
        <v>333</v>
      </c>
      <c r="D46" s="725">
        <f>'Dietary recommendations'!AF44</f>
        <v>28.026471731594992</v>
      </c>
      <c r="E46" s="112">
        <v>18</v>
      </c>
      <c r="F46" s="97">
        <f>SUM('Land requirements'!G178:G198)</f>
        <v>4.8694548445254018E-2</v>
      </c>
      <c r="G46" s="97"/>
      <c r="H46" s="97"/>
      <c r="I46" s="49"/>
    </row>
    <row r="47" spans="1:9" s="308" customFormat="1" x14ac:dyDescent="0.15">
      <c r="B47" s="311" t="s">
        <v>1154</v>
      </c>
      <c r="C47" s="311" t="s">
        <v>333</v>
      </c>
      <c r="D47" s="726" t="s">
        <v>335</v>
      </c>
      <c r="E47" s="112">
        <v>5</v>
      </c>
      <c r="F47" s="97">
        <f>SUM('Land requirements'!G199:G203)</f>
        <v>1.218613765387979E-2</v>
      </c>
      <c r="G47" s="97">
        <f>SUM('Land requirements'!H199:H203)</f>
        <v>1.4652410199149427E-2</v>
      </c>
      <c r="H47" s="97">
        <f>SUM('Land requirements'!I199:I203)</f>
        <v>0</v>
      </c>
      <c r="I47" s="313"/>
    </row>
    <row r="48" spans="1:9" s="308" customFormat="1" ht="14" thickBot="1" x14ac:dyDescent="0.2">
      <c r="B48" s="311" t="s">
        <v>1238</v>
      </c>
      <c r="C48" s="311" t="s">
        <v>1239</v>
      </c>
      <c r="D48" s="726" t="s">
        <v>335</v>
      </c>
      <c r="E48" s="113">
        <v>3</v>
      </c>
      <c r="F48" s="716" t="s">
        <v>68</v>
      </c>
      <c r="G48" s="716" t="s">
        <v>68</v>
      </c>
      <c r="H48" s="716" t="s">
        <v>68</v>
      </c>
      <c r="I48" s="313"/>
    </row>
    <row r="49" spans="1:17" ht="14" thickBot="1" x14ac:dyDescent="0.2">
      <c r="A49" s="8" t="s">
        <v>9</v>
      </c>
      <c r="B49" s="25" t="s">
        <v>331</v>
      </c>
      <c r="C49" s="25" t="s">
        <v>235</v>
      </c>
      <c r="D49" s="88">
        <f>'Dietary recommendations'!S44*0.1/16</f>
        <v>13.449741655025509</v>
      </c>
      <c r="E49" s="113">
        <v>6.5</v>
      </c>
      <c r="F49" s="16">
        <f>SUM('Land requirements'!G204:G209)</f>
        <v>6.0735104038903611E-3</v>
      </c>
      <c r="G49" s="16"/>
      <c r="H49" s="16"/>
      <c r="I49" s="49"/>
    </row>
    <row r="50" spans="1:17" x14ac:dyDescent="0.15">
      <c r="A50" s="89" t="s">
        <v>350</v>
      </c>
      <c r="B50" s="90"/>
      <c r="C50" s="90"/>
      <c r="D50" s="90"/>
      <c r="E50" s="8"/>
      <c r="F50" s="91">
        <f>SUM(F23,F25:F30,F32:F35,F37:F49)</f>
        <v>0.38091090432438368</v>
      </c>
      <c r="G50" s="91">
        <f>SUM(G23,G25:G31,G37:G49)</f>
        <v>0.1325681749302631</v>
      </c>
      <c r="H50" s="91">
        <f>SUM(H23,H25:H31,H37:H49)</f>
        <v>0.87481324475827282</v>
      </c>
      <c r="I50" s="49"/>
    </row>
    <row r="52" spans="1:17" x14ac:dyDescent="0.15">
      <c r="A52" s="81" t="s">
        <v>684</v>
      </c>
      <c r="B52" s="3"/>
      <c r="C52" s="3"/>
      <c r="D52" s="3"/>
      <c r="E52" s="3"/>
      <c r="F52" s="356">
        <f>'Multiuse crop adjustment'!H79</f>
        <v>5.1725697557442579E-2</v>
      </c>
      <c r="G52" s="357" t="s">
        <v>68</v>
      </c>
      <c r="H52" s="357" t="s">
        <v>68</v>
      </c>
      <c r="I52" s="3"/>
      <c r="J52" s="3"/>
      <c r="K52" s="3"/>
      <c r="L52" s="3"/>
      <c r="M52" s="3"/>
      <c r="N52" s="3"/>
      <c r="O52" s="3"/>
      <c r="P52" s="3"/>
      <c r="Q52" s="3"/>
    </row>
    <row r="53" spans="1:17" x14ac:dyDescent="0.15">
      <c r="A53" s="81" t="s">
        <v>685</v>
      </c>
      <c r="B53" s="3"/>
      <c r="C53" s="3"/>
      <c r="D53" s="3"/>
      <c r="E53" s="3"/>
      <c r="F53" s="357" t="s">
        <v>68</v>
      </c>
      <c r="G53" s="356">
        <f>'Grazing land adjustment'!C28</f>
        <v>0</v>
      </c>
      <c r="H53" s="356">
        <f>'Grazing land adjustment'!C29</f>
        <v>0</v>
      </c>
      <c r="I53" s="3"/>
      <c r="J53" s="3"/>
      <c r="K53" s="3"/>
      <c r="L53" s="3"/>
      <c r="M53" s="3"/>
      <c r="N53" s="3"/>
      <c r="O53" s="3"/>
      <c r="P53" s="3"/>
      <c r="Q53" s="3"/>
    </row>
    <row r="54" spans="1:17" x14ac:dyDescent="0.15">
      <c r="A54" s="93" t="s">
        <v>686</v>
      </c>
      <c r="F54" s="355">
        <f>F50-F52</f>
        <v>0.32918520676694107</v>
      </c>
      <c r="G54" s="355">
        <f>G50+G53</f>
        <v>0.1325681749302631</v>
      </c>
      <c r="H54" s="355">
        <f>H50-H53</f>
        <v>0.87481324475827282</v>
      </c>
    </row>
    <row r="55" spans="1:17" x14ac:dyDescent="0.15">
      <c r="A55" s="81" t="s">
        <v>1214</v>
      </c>
      <c r="F55" s="355">
        <f>F54/'Land availability'!E37</f>
        <v>0.31842496737662063</v>
      </c>
    </row>
    <row r="57" spans="1:17" ht="14" thickBot="1" x14ac:dyDescent="0.2"/>
    <row r="58" spans="1:17" ht="65" x14ac:dyDescent="0.15">
      <c r="A58" s="708" t="s">
        <v>761</v>
      </c>
      <c r="B58" s="706" t="s">
        <v>1233</v>
      </c>
      <c r="C58" s="706" t="s">
        <v>1234</v>
      </c>
      <c r="D58" s="706" t="s">
        <v>1235</v>
      </c>
      <c r="E58" s="706" t="s">
        <v>1236</v>
      </c>
      <c r="F58" s="706" t="s">
        <v>2</v>
      </c>
      <c r="G58" s="707"/>
      <c r="H58" s="705"/>
    </row>
    <row r="59" spans="1:17" x14ac:dyDescent="0.15">
      <c r="A59" s="709" t="s">
        <v>4</v>
      </c>
      <c r="B59" s="583">
        <f>F23</f>
        <v>9.0627156455105551E-2</v>
      </c>
      <c r="C59" s="713">
        <f>B59/B$68</f>
        <v>0.20837908804825045</v>
      </c>
      <c r="D59" s="583">
        <f>B59/'Land availability'!E$37</f>
        <v>8.7664781844476805E-2</v>
      </c>
      <c r="E59" s="714">
        <f>D59/D$68</f>
        <v>0.20648728558323484</v>
      </c>
      <c r="F59" s="313"/>
      <c r="G59" s="313"/>
      <c r="H59" s="701"/>
    </row>
    <row r="60" spans="1:17" x14ac:dyDescent="0.15">
      <c r="A60" s="709" t="s">
        <v>5</v>
      </c>
      <c r="B60" s="583">
        <f>SUM(F25:F26,F28:F29)</f>
        <v>2.3058631550000878E-2</v>
      </c>
      <c r="C60" s="713">
        <f t="shared" ref="C60:E67" si="0">B60/B$68</f>
        <v>5.3018728623688477E-2</v>
      </c>
      <c r="D60" s="583">
        <f>B60/'Land availability'!E$37</f>
        <v>2.2304902675219247E-2</v>
      </c>
      <c r="E60" s="715">
        <f t="shared" si="0"/>
        <v>5.2537389721393914E-2</v>
      </c>
      <c r="F60" s="313"/>
      <c r="G60" s="313"/>
      <c r="H60" s="701"/>
    </row>
    <row r="61" spans="1:17" x14ac:dyDescent="0.15">
      <c r="A61" s="709" t="s">
        <v>49</v>
      </c>
      <c r="B61" s="583">
        <f>F30</f>
        <v>2.6699013255449919E-2</v>
      </c>
      <c r="C61" s="713">
        <f t="shared" si="0"/>
        <v>6.1389060978811937E-2</v>
      </c>
      <c r="D61" s="583">
        <f>B61/'Land availability'!E$37</f>
        <v>2.5826289426406846E-2</v>
      </c>
      <c r="E61" s="715">
        <f t="shared" si="0"/>
        <v>6.0831730692109565E-2</v>
      </c>
      <c r="F61" s="313"/>
      <c r="G61" s="313"/>
      <c r="H61" s="701"/>
    </row>
    <row r="62" spans="1:17" x14ac:dyDescent="0.15">
      <c r="A62" s="709" t="s">
        <v>1228</v>
      </c>
      <c r="B62" s="583">
        <f>SUM(F27,F35,F37,F39)</f>
        <v>2.4678956892268743E-2</v>
      </c>
      <c r="C62" s="713">
        <f t="shared" si="0"/>
        <v>5.674434388483271E-2</v>
      </c>
      <c r="D62" s="583">
        <f>B62/'Land availability'!E$37</f>
        <v>2.3872263642981215E-2</v>
      </c>
      <c r="E62" s="715">
        <f t="shared" si="0"/>
        <v>5.6229181395916532E-2</v>
      </c>
      <c r="F62" s="315" t="s">
        <v>1232</v>
      </c>
      <c r="G62" s="313"/>
      <c r="H62" s="701"/>
    </row>
    <row r="63" spans="1:17" x14ac:dyDescent="0.15">
      <c r="A63" s="709" t="s">
        <v>1229</v>
      </c>
      <c r="B63" s="583">
        <f>F38</f>
        <v>5.3406576444112808E-3</v>
      </c>
      <c r="C63" s="713">
        <f t="shared" si="0"/>
        <v>1.2279778082540127E-2</v>
      </c>
      <c r="D63" s="583">
        <f>B63/'Land availability'!E$37</f>
        <v>5.166084931013816E-3</v>
      </c>
      <c r="E63" s="715">
        <f t="shared" si="0"/>
        <v>1.2168294177586022E-2</v>
      </c>
      <c r="F63" s="313"/>
      <c r="G63" s="313"/>
      <c r="H63" s="701"/>
    </row>
    <row r="64" spans="1:17" x14ac:dyDescent="0.15">
      <c r="A64" s="709" t="s">
        <v>1230</v>
      </c>
      <c r="B64" s="583">
        <f>SUM(F32,F40:F46)-F52</f>
        <v>0.1405211429119346</v>
      </c>
      <c r="C64" s="713">
        <f t="shared" si="0"/>
        <v>0.32310036811087878</v>
      </c>
      <c r="D64" s="583">
        <f>B64/'Land availability'!E$37</f>
        <v>0.13592785893060322</v>
      </c>
      <c r="E64" s="715">
        <f t="shared" si="0"/>
        <v>0.32016705038420706</v>
      </c>
      <c r="F64" s="313"/>
      <c r="G64" s="313"/>
      <c r="H64" s="701"/>
    </row>
    <row r="65" spans="1:8" x14ac:dyDescent="0.15">
      <c r="A65" s="709" t="s">
        <v>9</v>
      </c>
      <c r="B65" s="583">
        <f>F49</f>
        <v>6.0735104038903611E-3</v>
      </c>
      <c r="C65" s="713">
        <f t="shared" si="0"/>
        <v>1.3964826975909566E-2</v>
      </c>
      <c r="D65" s="583">
        <f>B65/'Land availability'!E$37</f>
        <v>5.8749825704943401E-3</v>
      </c>
      <c r="E65" s="715">
        <f t="shared" si="0"/>
        <v>1.3838045088417935E-2</v>
      </c>
      <c r="F65" s="313"/>
      <c r="G65" s="313"/>
      <c r="H65" s="701"/>
    </row>
    <row r="66" spans="1:8" x14ac:dyDescent="0.15">
      <c r="A66" s="709" t="s">
        <v>1226</v>
      </c>
      <c r="B66" s="583">
        <f>SUM(G32,G40,G46)</f>
        <v>0.11791576473111368</v>
      </c>
      <c r="C66" s="713">
        <f t="shared" si="0"/>
        <v>0.27112380529508806</v>
      </c>
      <c r="D66" s="583">
        <f>B66</f>
        <v>0.11791576473111368</v>
      </c>
      <c r="E66" s="715">
        <f t="shared" si="0"/>
        <v>0.27774102295713426</v>
      </c>
      <c r="F66" s="313"/>
      <c r="G66" s="313"/>
      <c r="H66" s="701"/>
    </row>
    <row r="67" spans="1:8" x14ac:dyDescent="0.15">
      <c r="A67" s="709" t="s">
        <v>1227</v>
      </c>
      <c r="B67" s="583">
        <f>G53</f>
        <v>0</v>
      </c>
      <c r="C67" s="713">
        <f t="shared" si="0"/>
        <v>0</v>
      </c>
      <c r="D67" s="583">
        <f>B67</f>
        <v>0</v>
      </c>
      <c r="E67" s="715">
        <f t="shared" si="0"/>
        <v>0</v>
      </c>
      <c r="F67" s="313"/>
      <c r="G67" s="313"/>
      <c r="H67" s="701"/>
    </row>
    <row r="68" spans="1:8" ht="14" thickBot="1" x14ac:dyDescent="0.2">
      <c r="A68" s="710" t="s">
        <v>1231</v>
      </c>
      <c r="B68" s="711">
        <f>SUM(B59:B67)</f>
        <v>0.43491483384417495</v>
      </c>
      <c r="C68" s="711"/>
      <c r="D68" s="711">
        <f>SUM(D59:D67)</f>
        <v>0.4245529287523091</v>
      </c>
      <c r="E68" s="712"/>
      <c r="F68" s="702"/>
      <c r="G68" s="703"/>
      <c r="H68" s="704"/>
    </row>
    <row r="70" spans="1:8" s="308" customFormat="1" x14ac:dyDescent="0.15">
      <c r="A70" s="741"/>
      <c r="B70" s="310"/>
    </row>
    <row r="71" spans="1:8" x14ac:dyDescent="0.15">
      <c r="A71" s="742"/>
      <c r="B71" s="743"/>
    </row>
    <row r="72" spans="1:8" x14ac:dyDescent="0.15">
      <c r="A72" s="742"/>
      <c r="B72" s="743"/>
    </row>
    <row r="73" spans="1:8" s="308" customFormat="1" x14ac:dyDescent="0.15">
      <c r="A73" s="742"/>
      <c r="B73" s="743"/>
    </row>
    <row r="74" spans="1:8" x14ac:dyDescent="0.15">
      <c r="A74" s="742"/>
      <c r="B74" s="743"/>
    </row>
    <row r="75" spans="1:8" s="308" customFormat="1" x14ac:dyDescent="0.15">
      <c r="A75" s="742"/>
      <c r="B75" s="743"/>
    </row>
    <row r="76" spans="1:8" s="308" customFormat="1" x14ac:dyDescent="0.15">
      <c r="A76" s="742"/>
      <c r="B76" s="743"/>
    </row>
    <row r="77" spans="1:8" x14ac:dyDescent="0.15">
      <c r="A77" s="742"/>
      <c r="B77" s="743"/>
    </row>
    <row r="78" spans="1:8" x14ac:dyDescent="0.15">
      <c r="A78" s="742"/>
      <c r="B78" s="743"/>
    </row>
    <row r="79" spans="1:8" x14ac:dyDescent="0.15">
      <c r="A79" s="742"/>
      <c r="B79" s="743"/>
    </row>
    <row r="80" spans="1:8" x14ac:dyDescent="0.15">
      <c r="A80" s="742"/>
      <c r="B80" s="743"/>
    </row>
    <row r="81" spans="1:2" s="308" customFormat="1" x14ac:dyDescent="0.15">
      <c r="A81" s="742"/>
      <c r="B81" s="743"/>
    </row>
    <row r="82" spans="1:2" s="308" customFormat="1" x14ac:dyDescent="0.15">
      <c r="A82" s="742"/>
      <c r="B82" s="743"/>
    </row>
    <row r="83" spans="1:2" x14ac:dyDescent="0.15">
      <c r="A83" s="742"/>
      <c r="B83" s="743"/>
    </row>
    <row r="84" spans="1:2" x14ac:dyDescent="0.15">
      <c r="A84" s="742"/>
      <c r="B84" s="743"/>
    </row>
    <row r="85" spans="1:2" x14ac:dyDescent="0.15">
      <c r="A85" s="742"/>
      <c r="B85" s="742"/>
    </row>
    <row r="86" spans="1:2" s="308" customFormat="1" x14ac:dyDescent="0.15">
      <c r="A86" s="742"/>
      <c r="B86" s="743"/>
    </row>
    <row r="87" spans="1:2" s="308" customFormat="1" x14ac:dyDescent="0.15">
      <c r="A87" s="742"/>
      <c r="B87" s="743"/>
    </row>
    <row r="88" spans="1:2" s="308" customFormat="1" x14ac:dyDescent="0.15">
      <c r="A88" s="742"/>
      <c r="B88" s="743"/>
    </row>
  </sheetData>
  <mergeCells count="1">
    <mergeCell ref="A2:C4"/>
  </mergeCells>
  <phoneticPr fontId="4" type="noConversion"/>
  <pageMargins left="0.75" right="0.75" top="1" bottom="1" header="0.5" footer="0.5"/>
  <pageSetup orientation="portrait" horizontalDpi="200" verticalDpi="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tabSelected="1" workbookViewId="0">
      <selection activeCell="C37" sqref="C37"/>
    </sheetView>
  </sheetViews>
  <sheetFormatPr baseColWidth="10" defaultColWidth="8.83203125" defaultRowHeight="13" x14ac:dyDescent="0.15"/>
  <cols>
    <col min="1" max="1" width="25" customWidth="1"/>
    <col min="2" max="33" width="12.6640625" customWidth="1"/>
  </cols>
  <sheetData>
    <row r="1" spans="1:33" ht="14" thickBot="1" x14ac:dyDescent="0.2">
      <c r="A1" s="1" t="s">
        <v>26</v>
      </c>
    </row>
    <row r="2" spans="1:33" x14ac:dyDescent="0.15">
      <c r="A2" s="836" t="s">
        <v>401</v>
      </c>
      <c r="B2" s="845"/>
      <c r="C2" s="845"/>
      <c r="D2" s="845"/>
      <c r="E2" s="845"/>
      <c r="F2" s="845"/>
      <c r="G2" s="845"/>
      <c r="H2" s="845"/>
      <c r="I2" s="845"/>
      <c r="J2" s="845"/>
      <c r="K2" s="845"/>
      <c r="L2" s="845"/>
      <c r="M2" s="846"/>
    </row>
    <row r="3" spans="1:33" ht="14" thickBot="1" x14ac:dyDescent="0.2">
      <c r="A3" s="847"/>
      <c r="B3" s="848"/>
      <c r="C3" s="848"/>
      <c r="D3" s="848"/>
      <c r="E3" s="848"/>
      <c r="F3" s="848"/>
      <c r="G3" s="848"/>
      <c r="H3" s="848"/>
      <c r="I3" s="848"/>
      <c r="J3" s="848"/>
      <c r="K3" s="848"/>
      <c r="L3" s="848"/>
      <c r="M3" s="849"/>
    </row>
    <row r="5" spans="1:33" ht="39" x14ac:dyDescent="0.15">
      <c r="A5" s="429" t="s">
        <v>781</v>
      </c>
      <c r="B5" s="428" t="s">
        <v>784</v>
      </c>
      <c r="C5" s="428" t="s">
        <v>45</v>
      </c>
      <c r="D5" s="428" t="s">
        <v>46</v>
      </c>
      <c r="E5" s="428" t="s">
        <v>4</v>
      </c>
      <c r="F5" s="428" t="s">
        <v>10</v>
      </c>
      <c r="G5" s="428" t="s">
        <v>5</v>
      </c>
      <c r="H5" s="428" t="s">
        <v>11</v>
      </c>
      <c r="I5" s="428" t="s">
        <v>1223</v>
      </c>
      <c r="J5" s="428" t="s">
        <v>48</v>
      </c>
      <c r="K5" s="428" t="s">
        <v>12</v>
      </c>
      <c r="L5" s="428" t="s">
        <v>13</v>
      </c>
      <c r="M5" s="428" t="s">
        <v>49</v>
      </c>
      <c r="N5" s="428" t="s">
        <v>7</v>
      </c>
      <c r="O5" s="428" t="s">
        <v>50</v>
      </c>
      <c r="P5" s="428" t="s">
        <v>51</v>
      </c>
      <c r="Q5" s="428" t="s">
        <v>52</v>
      </c>
      <c r="R5" s="279"/>
      <c r="S5" s="428" t="s">
        <v>45</v>
      </c>
      <c r="T5" s="428" t="s">
        <v>46</v>
      </c>
      <c r="U5" s="428" t="s">
        <v>4</v>
      </c>
      <c r="V5" s="428" t="s">
        <v>10</v>
      </c>
      <c r="W5" s="428" t="s">
        <v>5</v>
      </c>
      <c r="X5" s="428" t="s">
        <v>11</v>
      </c>
      <c r="Y5" s="428" t="s">
        <v>47</v>
      </c>
      <c r="Z5" s="428" t="s">
        <v>48</v>
      </c>
      <c r="AA5" s="428" t="s">
        <v>12</v>
      </c>
      <c r="AB5" s="428" t="s">
        <v>13</v>
      </c>
      <c r="AC5" s="428" t="s">
        <v>49</v>
      </c>
      <c r="AD5" s="428" t="s">
        <v>7</v>
      </c>
      <c r="AE5" s="428" t="s">
        <v>50</v>
      </c>
      <c r="AF5" s="428" t="s">
        <v>51</v>
      </c>
      <c r="AG5" s="439" t="s">
        <v>52</v>
      </c>
    </row>
    <row r="6" spans="1:33" s="308" customFormat="1" x14ac:dyDescent="0.15">
      <c r="A6" s="430"/>
      <c r="B6" s="420"/>
      <c r="C6" s="421"/>
      <c r="D6" s="266" t="s">
        <v>42</v>
      </c>
      <c r="E6" s="266" t="s">
        <v>43</v>
      </c>
      <c r="F6" s="266" t="s">
        <v>43</v>
      </c>
      <c r="G6" s="266" t="s">
        <v>44</v>
      </c>
      <c r="H6" s="266" t="s">
        <v>783</v>
      </c>
      <c r="I6" s="266" t="s">
        <v>783</v>
      </c>
      <c r="J6" s="266" t="s">
        <v>783</v>
      </c>
      <c r="K6" s="266" t="s">
        <v>783</v>
      </c>
      <c r="L6" s="266" t="s">
        <v>783</v>
      </c>
      <c r="M6" s="266" t="s">
        <v>44</v>
      </c>
      <c r="N6" s="266" t="s">
        <v>44</v>
      </c>
      <c r="O6" s="266" t="s">
        <v>43</v>
      </c>
      <c r="P6" s="266" t="s">
        <v>333</v>
      </c>
      <c r="Q6" s="266" t="s">
        <v>41</v>
      </c>
      <c r="R6" s="15"/>
      <c r="S6" s="18"/>
      <c r="T6" s="266" t="s">
        <v>42</v>
      </c>
      <c r="U6" s="266" t="s">
        <v>43</v>
      </c>
      <c r="V6" s="266" t="s">
        <v>43</v>
      </c>
      <c r="W6" s="266" t="s">
        <v>44</v>
      </c>
      <c r="X6" s="266" t="s">
        <v>783</v>
      </c>
      <c r="Y6" s="266" t="s">
        <v>783</v>
      </c>
      <c r="Z6" s="266" t="s">
        <v>783</v>
      </c>
      <c r="AA6" s="266" t="s">
        <v>783</v>
      </c>
      <c r="AB6" s="266" t="s">
        <v>783</v>
      </c>
      <c r="AC6" s="266" t="s">
        <v>44</v>
      </c>
      <c r="AD6" s="266" t="s">
        <v>44</v>
      </c>
      <c r="AE6" s="266" t="s">
        <v>43</v>
      </c>
      <c r="AF6" s="266" t="s">
        <v>333</v>
      </c>
      <c r="AG6" s="440" t="s">
        <v>41</v>
      </c>
    </row>
    <row r="7" spans="1:33" x14ac:dyDescent="0.15">
      <c r="A7" s="430" t="s">
        <v>762</v>
      </c>
      <c r="B7" s="15"/>
      <c r="C7" s="420"/>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43"/>
    </row>
    <row r="8" spans="1:33" x14ac:dyDescent="0.15">
      <c r="A8" s="431" t="s">
        <v>763</v>
      </c>
      <c r="B8" s="422">
        <v>3.3423728377898051E-3</v>
      </c>
      <c r="C8" s="423">
        <v>842.4</v>
      </c>
      <c r="D8" s="420">
        <v>0</v>
      </c>
      <c r="E8" s="420">
        <v>0</v>
      </c>
      <c r="F8" s="420">
        <v>0</v>
      </c>
      <c r="G8" s="420">
        <v>0</v>
      </c>
      <c r="H8" s="420">
        <v>0</v>
      </c>
      <c r="I8" s="420">
        <v>0</v>
      </c>
      <c r="J8" s="420">
        <v>0</v>
      </c>
      <c r="K8" s="420">
        <v>0</v>
      </c>
      <c r="L8" s="420">
        <v>0</v>
      </c>
      <c r="M8" s="420">
        <v>0</v>
      </c>
      <c r="N8" s="420">
        <v>0</v>
      </c>
      <c r="O8" s="420">
        <v>0</v>
      </c>
      <c r="P8" s="420">
        <v>0</v>
      </c>
      <c r="Q8" s="420">
        <v>0</v>
      </c>
      <c r="R8" s="15"/>
      <c r="S8" s="424">
        <f t="shared" ref="S8:S24" si="0">B8*C8</f>
        <v>2.8156148785541317</v>
      </c>
      <c r="T8" s="424">
        <f t="shared" ref="T8:T24" si="1">B8*D8</f>
        <v>0</v>
      </c>
      <c r="U8" s="425">
        <f t="shared" ref="U8:U24" si="2">E8*B8</f>
        <v>0</v>
      </c>
      <c r="V8" s="425">
        <f t="shared" ref="V8:V24" si="3">B8*F8</f>
        <v>0</v>
      </c>
      <c r="W8" s="425">
        <f t="shared" ref="W8:W24" si="4">G8*B8</f>
        <v>0</v>
      </c>
      <c r="X8" s="425">
        <f t="shared" ref="X8:X24" si="5">H8*B8</f>
        <v>0</v>
      </c>
      <c r="Y8" s="425">
        <f t="shared" ref="Y8:Y24" si="6">I8*B8</f>
        <v>0</v>
      </c>
      <c r="Z8" s="425">
        <f t="shared" ref="Z8:Z24" si="7">J8*B8</f>
        <v>0</v>
      </c>
      <c r="AA8" s="425">
        <f t="shared" ref="AA8:AA24" si="8">K8*B8</f>
        <v>0</v>
      </c>
      <c r="AB8" s="425">
        <f t="shared" ref="AB8:AB24" si="9">L8*B8</f>
        <v>0</v>
      </c>
      <c r="AC8" s="425">
        <f t="shared" ref="AC8:AC24" si="10">M8*B8</f>
        <v>0</v>
      </c>
      <c r="AD8" s="425">
        <f t="shared" ref="AD8:AD24" si="11">N8*B8</f>
        <v>0</v>
      </c>
      <c r="AE8" s="425">
        <f t="shared" ref="AE8:AE24" si="12">O8*B8</f>
        <v>0</v>
      </c>
      <c r="AF8" s="425">
        <f t="shared" ref="AF8:AF24" si="13">P8*B8</f>
        <v>0</v>
      </c>
      <c r="AG8" s="441">
        <f t="shared" ref="AG8:AG24" si="14">Q8*B8</f>
        <v>0</v>
      </c>
    </row>
    <row r="9" spans="1:33" x14ac:dyDescent="0.15">
      <c r="A9" s="431" t="s">
        <v>764</v>
      </c>
      <c r="B9" s="422">
        <v>1.0027118513369414E-2</v>
      </c>
      <c r="C9" s="420">
        <v>1078</v>
      </c>
      <c r="D9" s="420">
        <v>0</v>
      </c>
      <c r="E9" s="420">
        <v>0</v>
      </c>
      <c r="F9" s="420">
        <v>0</v>
      </c>
      <c r="G9" s="420">
        <v>0</v>
      </c>
      <c r="H9" s="420">
        <v>0</v>
      </c>
      <c r="I9" s="420">
        <v>0</v>
      </c>
      <c r="J9" s="420">
        <v>0</v>
      </c>
      <c r="K9" s="420">
        <v>0</v>
      </c>
      <c r="L9" s="420">
        <v>0</v>
      </c>
      <c r="M9" s="420">
        <v>0</v>
      </c>
      <c r="N9" s="420">
        <v>0</v>
      </c>
      <c r="O9" s="420">
        <v>0</v>
      </c>
      <c r="P9" s="420">
        <v>0</v>
      </c>
      <c r="Q9" s="420">
        <v>0</v>
      </c>
      <c r="R9" s="15"/>
      <c r="S9" s="424">
        <f t="shared" si="0"/>
        <v>10.80923375741223</v>
      </c>
      <c r="T9" s="424">
        <f t="shared" si="1"/>
        <v>0</v>
      </c>
      <c r="U9" s="425">
        <f t="shared" si="2"/>
        <v>0</v>
      </c>
      <c r="V9" s="425">
        <f t="shared" si="3"/>
        <v>0</v>
      </c>
      <c r="W9" s="425">
        <f t="shared" si="4"/>
        <v>0</v>
      </c>
      <c r="X9" s="425">
        <f t="shared" si="5"/>
        <v>0</v>
      </c>
      <c r="Y9" s="425">
        <f t="shared" si="6"/>
        <v>0</v>
      </c>
      <c r="Z9" s="425">
        <f t="shared" si="7"/>
        <v>0</v>
      </c>
      <c r="AA9" s="425">
        <f t="shared" si="8"/>
        <v>0</v>
      </c>
      <c r="AB9" s="425">
        <f t="shared" si="9"/>
        <v>0</v>
      </c>
      <c r="AC9" s="425">
        <f t="shared" si="10"/>
        <v>0</v>
      </c>
      <c r="AD9" s="425">
        <f t="shared" si="11"/>
        <v>0</v>
      </c>
      <c r="AE9" s="425">
        <f t="shared" si="12"/>
        <v>0</v>
      </c>
      <c r="AF9" s="425">
        <f t="shared" si="13"/>
        <v>0</v>
      </c>
      <c r="AG9" s="441">
        <f t="shared" si="14"/>
        <v>0</v>
      </c>
    </row>
    <row r="10" spans="1:33" x14ac:dyDescent="0.15">
      <c r="A10" s="431" t="s">
        <v>765</v>
      </c>
      <c r="B10" s="422">
        <v>6.6847456755796102E-3</v>
      </c>
      <c r="C10" s="420">
        <v>1000</v>
      </c>
      <c r="D10" s="420">
        <v>35</v>
      </c>
      <c r="E10" s="420">
        <v>3</v>
      </c>
      <c r="F10" s="420">
        <v>1.5</v>
      </c>
      <c r="G10" s="420">
        <v>1</v>
      </c>
      <c r="H10" s="420">
        <v>0.5</v>
      </c>
      <c r="I10" s="420">
        <v>2.5</v>
      </c>
      <c r="J10" s="420">
        <v>0.5</v>
      </c>
      <c r="K10" s="420">
        <v>2</v>
      </c>
      <c r="L10" s="420">
        <v>1.5</v>
      </c>
      <c r="M10" s="420">
        <v>1</v>
      </c>
      <c r="N10" s="420">
        <v>2</v>
      </c>
      <c r="O10" s="420">
        <v>2</v>
      </c>
      <c r="P10" s="420">
        <v>15</v>
      </c>
      <c r="Q10" s="420">
        <v>165</v>
      </c>
      <c r="R10" s="15"/>
      <c r="S10" s="424">
        <f t="shared" si="0"/>
        <v>6.6847456755796104</v>
      </c>
      <c r="T10" s="424">
        <f t="shared" si="1"/>
        <v>0.23396609864528636</v>
      </c>
      <c r="U10" s="425">
        <f t="shared" si="2"/>
        <v>2.0054237026738829E-2</v>
      </c>
      <c r="V10" s="425">
        <f t="shared" si="3"/>
        <v>1.0027118513369414E-2</v>
      </c>
      <c r="W10" s="425">
        <f t="shared" si="4"/>
        <v>6.6847456755796102E-3</v>
      </c>
      <c r="X10" s="425">
        <f t="shared" si="5"/>
        <v>3.3423728377898051E-3</v>
      </c>
      <c r="Y10" s="425">
        <f t="shared" si="6"/>
        <v>1.6711864188949026E-2</v>
      </c>
      <c r="Z10" s="425">
        <f t="shared" si="7"/>
        <v>3.3423728377898051E-3</v>
      </c>
      <c r="AA10" s="425">
        <f t="shared" si="8"/>
        <v>1.336949135115922E-2</v>
      </c>
      <c r="AB10" s="425">
        <f t="shared" si="9"/>
        <v>1.0027118513369414E-2</v>
      </c>
      <c r="AC10" s="425">
        <f t="shared" si="10"/>
        <v>6.6847456755796102E-3</v>
      </c>
      <c r="AD10" s="425">
        <f t="shared" si="11"/>
        <v>1.336949135115922E-2</v>
      </c>
      <c r="AE10" s="425">
        <f t="shared" si="12"/>
        <v>1.336949135115922E-2</v>
      </c>
      <c r="AF10" s="425">
        <f t="shared" si="13"/>
        <v>0.10027118513369415</v>
      </c>
      <c r="AG10" s="441">
        <f t="shared" si="14"/>
        <v>1.1029830364706357</v>
      </c>
    </row>
    <row r="11" spans="1:33" x14ac:dyDescent="0.15">
      <c r="A11" s="431" t="s">
        <v>766</v>
      </c>
      <c r="B11" s="422">
        <v>6.6847456755796102E-3</v>
      </c>
      <c r="C11" s="420">
        <v>1400</v>
      </c>
      <c r="D11" s="420">
        <v>35</v>
      </c>
      <c r="E11" s="420">
        <v>5</v>
      </c>
      <c r="F11" s="420">
        <v>2.5</v>
      </c>
      <c r="G11" s="420">
        <v>1.5</v>
      </c>
      <c r="H11" s="420">
        <v>1</v>
      </c>
      <c r="I11" s="420">
        <v>3</v>
      </c>
      <c r="J11" s="420">
        <v>0.5</v>
      </c>
      <c r="K11" s="420">
        <v>3.5</v>
      </c>
      <c r="L11" s="420">
        <v>2.5</v>
      </c>
      <c r="M11" s="420">
        <v>1.5</v>
      </c>
      <c r="N11" s="420">
        <v>2</v>
      </c>
      <c r="O11" s="420">
        <v>4</v>
      </c>
      <c r="P11" s="420">
        <v>17</v>
      </c>
      <c r="Q11" s="420">
        <v>170</v>
      </c>
      <c r="R11" s="15"/>
      <c r="S11" s="424">
        <f t="shared" si="0"/>
        <v>9.3586439458114548</v>
      </c>
      <c r="T11" s="424">
        <f t="shared" si="1"/>
        <v>0.23396609864528636</v>
      </c>
      <c r="U11" s="425">
        <f t="shared" si="2"/>
        <v>3.3423728377898053E-2</v>
      </c>
      <c r="V11" s="425">
        <f t="shared" si="3"/>
        <v>1.6711864188949026E-2</v>
      </c>
      <c r="W11" s="425">
        <f t="shared" si="4"/>
        <v>1.0027118513369414E-2</v>
      </c>
      <c r="X11" s="425">
        <f t="shared" si="5"/>
        <v>6.6847456755796102E-3</v>
      </c>
      <c r="Y11" s="425">
        <f t="shared" si="6"/>
        <v>2.0054237026738829E-2</v>
      </c>
      <c r="Z11" s="425">
        <f t="shared" si="7"/>
        <v>3.3423728377898051E-3</v>
      </c>
      <c r="AA11" s="425">
        <f t="shared" si="8"/>
        <v>2.3396609864528635E-2</v>
      </c>
      <c r="AB11" s="425">
        <f t="shared" si="9"/>
        <v>1.6711864188949026E-2</v>
      </c>
      <c r="AC11" s="425">
        <f t="shared" si="10"/>
        <v>1.0027118513369414E-2</v>
      </c>
      <c r="AD11" s="425">
        <f t="shared" si="11"/>
        <v>1.336949135115922E-2</v>
      </c>
      <c r="AE11" s="425">
        <f t="shared" si="12"/>
        <v>2.6738982702318441E-2</v>
      </c>
      <c r="AF11" s="425">
        <f t="shared" si="13"/>
        <v>0.11364067648485338</v>
      </c>
      <c r="AG11" s="441">
        <f t="shared" si="14"/>
        <v>1.1364067648485336</v>
      </c>
    </row>
    <row r="12" spans="1:33" x14ac:dyDescent="0.15">
      <c r="A12" s="431" t="s">
        <v>767</v>
      </c>
      <c r="B12" s="422">
        <v>6.6847456755796102E-3</v>
      </c>
      <c r="C12" s="420">
        <v>1400</v>
      </c>
      <c r="D12" s="420">
        <v>30</v>
      </c>
      <c r="E12" s="420">
        <v>5</v>
      </c>
      <c r="F12" s="420">
        <v>2.5</v>
      </c>
      <c r="G12" s="420">
        <v>1.5</v>
      </c>
      <c r="H12" s="420">
        <v>1</v>
      </c>
      <c r="I12" s="420">
        <v>3</v>
      </c>
      <c r="J12" s="420">
        <v>0.5</v>
      </c>
      <c r="K12" s="420">
        <v>3.5</v>
      </c>
      <c r="L12" s="420">
        <v>2.5</v>
      </c>
      <c r="M12" s="420">
        <v>1.5</v>
      </c>
      <c r="N12" s="420">
        <v>2</v>
      </c>
      <c r="O12" s="420">
        <v>4</v>
      </c>
      <c r="P12" s="420">
        <v>17</v>
      </c>
      <c r="Q12" s="420">
        <v>170</v>
      </c>
      <c r="R12" s="15"/>
      <c r="S12" s="424">
        <f t="shared" si="0"/>
        <v>9.3586439458114548</v>
      </c>
      <c r="T12" s="424">
        <f t="shared" si="1"/>
        <v>0.2005423702673883</v>
      </c>
      <c r="U12" s="425">
        <f t="shared" si="2"/>
        <v>3.3423728377898053E-2</v>
      </c>
      <c r="V12" s="425">
        <f t="shared" si="3"/>
        <v>1.6711864188949026E-2</v>
      </c>
      <c r="W12" s="425">
        <f t="shared" si="4"/>
        <v>1.0027118513369414E-2</v>
      </c>
      <c r="X12" s="425">
        <f t="shared" si="5"/>
        <v>6.6847456755796102E-3</v>
      </c>
      <c r="Y12" s="425">
        <f t="shared" si="6"/>
        <v>2.0054237026738829E-2</v>
      </c>
      <c r="Z12" s="425">
        <f t="shared" si="7"/>
        <v>3.3423728377898051E-3</v>
      </c>
      <c r="AA12" s="425">
        <f t="shared" si="8"/>
        <v>2.3396609864528635E-2</v>
      </c>
      <c r="AB12" s="425">
        <f t="shared" si="9"/>
        <v>1.6711864188949026E-2</v>
      </c>
      <c r="AC12" s="425">
        <f t="shared" si="10"/>
        <v>1.0027118513369414E-2</v>
      </c>
      <c r="AD12" s="425">
        <f t="shared" si="11"/>
        <v>1.336949135115922E-2</v>
      </c>
      <c r="AE12" s="425">
        <f t="shared" si="12"/>
        <v>2.6738982702318441E-2</v>
      </c>
      <c r="AF12" s="425">
        <f t="shared" si="13"/>
        <v>0.11364067648485338</v>
      </c>
      <c r="AG12" s="441">
        <f t="shared" si="14"/>
        <v>1.1364067648485336</v>
      </c>
    </row>
    <row r="13" spans="1:33" x14ac:dyDescent="0.15">
      <c r="A13" s="432" t="s">
        <v>768</v>
      </c>
      <c r="B13" s="422">
        <v>3.3651135712931338E-2</v>
      </c>
      <c r="C13" s="423">
        <v>1600</v>
      </c>
      <c r="D13" s="426">
        <v>30</v>
      </c>
      <c r="E13" s="426">
        <v>5</v>
      </c>
      <c r="F13" s="426">
        <v>3</v>
      </c>
      <c r="G13" s="426">
        <v>2</v>
      </c>
      <c r="H13" s="426">
        <v>1.5</v>
      </c>
      <c r="I13" s="426">
        <v>4</v>
      </c>
      <c r="J13" s="426">
        <v>1</v>
      </c>
      <c r="K13" s="426">
        <v>4</v>
      </c>
      <c r="L13" s="426">
        <v>3.5</v>
      </c>
      <c r="M13" s="426">
        <v>1.5</v>
      </c>
      <c r="N13" s="426">
        <v>2</v>
      </c>
      <c r="O13" s="426">
        <v>5</v>
      </c>
      <c r="P13" s="426">
        <v>22</v>
      </c>
      <c r="Q13" s="423">
        <v>130</v>
      </c>
      <c r="R13" s="15"/>
      <c r="S13" s="424">
        <f t="shared" si="0"/>
        <v>53.841817140690139</v>
      </c>
      <c r="T13" s="424">
        <f t="shared" si="1"/>
        <v>1.0095340713879402</v>
      </c>
      <c r="U13" s="425">
        <f t="shared" si="2"/>
        <v>0.16825567856465667</v>
      </c>
      <c r="V13" s="425">
        <f t="shared" si="3"/>
        <v>0.10095340713879401</v>
      </c>
      <c r="W13" s="425">
        <f t="shared" si="4"/>
        <v>6.7302271425862675E-2</v>
      </c>
      <c r="X13" s="425">
        <f t="shared" si="5"/>
        <v>5.0476703569397006E-2</v>
      </c>
      <c r="Y13" s="425">
        <f t="shared" si="6"/>
        <v>0.13460454285172535</v>
      </c>
      <c r="Z13" s="425">
        <f t="shared" si="7"/>
        <v>3.3651135712931338E-2</v>
      </c>
      <c r="AA13" s="425">
        <f t="shared" si="8"/>
        <v>0.13460454285172535</v>
      </c>
      <c r="AB13" s="425">
        <f t="shared" si="9"/>
        <v>0.11777897499525969</v>
      </c>
      <c r="AC13" s="425">
        <f t="shared" si="10"/>
        <v>5.0476703569397006E-2</v>
      </c>
      <c r="AD13" s="425">
        <f t="shared" si="11"/>
        <v>6.7302271425862675E-2</v>
      </c>
      <c r="AE13" s="425">
        <f t="shared" si="12"/>
        <v>0.16825567856465667</v>
      </c>
      <c r="AF13" s="425">
        <f t="shared" si="13"/>
        <v>0.74032498568448946</v>
      </c>
      <c r="AG13" s="441">
        <f t="shared" si="14"/>
        <v>4.3746476426810741</v>
      </c>
    </row>
    <row r="14" spans="1:33" x14ac:dyDescent="0.15">
      <c r="A14" s="432" t="s">
        <v>769</v>
      </c>
      <c r="B14" s="422">
        <v>3.426725473843123E-2</v>
      </c>
      <c r="C14" s="423">
        <v>2200</v>
      </c>
      <c r="D14" s="426">
        <v>30</v>
      </c>
      <c r="E14" s="426">
        <v>7</v>
      </c>
      <c r="F14" s="426">
        <v>3.5</v>
      </c>
      <c r="G14" s="426">
        <v>3</v>
      </c>
      <c r="H14" s="426">
        <v>2</v>
      </c>
      <c r="I14" s="426">
        <v>6</v>
      </c>
      <c r="J14" s="426">
        <v>2</v>
      </c>
      <c r="K14" s="426">
        <v>6</v>
      </c>
      <c r="L14" s="426">
        <v>5</v>
      </c>
      <c r="M14" s="426">
        <v>2</v>
      </c>
      <c r="N14" s="426">
        <v>3</v>
      </c>
      <c r="O14" s="426">
        <v>6</v>
      </c>
      <c r="P14" s="426">
        <v>29</v>
      </c>
      <c r="Q14" s="423">
        <v>290</v>
      </c>
      <c r="R14" s="15"/>
      <c r="S14" s="424">
        <f t="shared" si="0"/>
        <v>75.387960424548709</v>
      </c>
      <c r="T14" s="424">
        <f t="shared" si="1"/>
        <v>1.0280176421529368</v>
      </c>
      <c r="U14" s="425">
        <f t="shared" si="2"/>
        <v>0.23987078316901861</v>
      </c>
      <c r="V14" s="425">
        <f t="shared" si="3"/>
        <v>0.1199353915845093</v>
      </c>
      <c r="W14" s="425">
        <f t="shared" si="4"/>
        <v>0.10280176421529369</v>
      </c>
      <c r="X14" s="425">
        <f t="shared" si="5"/>
        <v>6.853450947686246E-2</v>
      </c>
      <c r="Y14" s="425">
        <f t="shared" si="6"/>
        <v>0.20560352843058738</v>
      </c>
      <c r="Z14" s="425">
        <f t="shared" si="7"/>
        <v>6.853450947686246E-2</v>
      </c>
      <c r="AA14" s="425">
        <f t="shared" si="8"/>
        <v>0.20560352843058738</v>
      </c>
      <c r="AB14" s="425">
        <f t="shared" si="9"/>
        <v>0.17133627369215615</v>
      </c>
      <c r="AC14" s="425">
        <f t="shared" si="10"/>
        <v>6.853450947686246E-2</v>
      </c>
      <c r="AD14" s="425">
        <f t="shared" si="11"/>
        <v>0.10280176421529369</v>
      </c>
      <c r="AE14" s="425">
        <f t="shared" si="12"/>
        <v>0.20560352843058738</v>
      </c>
      <c r="AF14" s="425">
        <f t="shared" si="13"/>
        <v>0.99375038741450572</v>
      </c>
      <c r="AG14" s="441">
        <f t="shared" si="14"/>
        <v>9.9375038741450563</v>
      </c>
    </row>
    <row r="15" spans="1:33" x14ac:dyDescent="0.15">
      <c r="A15" s="432" t="s">
        <v>770</v>
      </c>
      <c r="B15" s="422">
        <v>3.661159307183251E-2</v>
      </c>
      <c r="C15" s="423">
        <v>2800</v>
      </c>
      <c r="D15" s="426">
        <v>30</v>
      </c>
      <c r="E15" s="426">
        <v>10</v>
      </c>
      <c r="F15" s="426">
        <v>5</v>
      </c>
      <c r="G15" s="426">
        <v>3.5</v>
      </c>
      <c r="H15" s="426">
        <v>2.5</v>
      </c>
      <c r="I15" s="426">
        <v>7</v>
      </c>
      <c r="J15" s="426">
        <v>2.5</v>
      </c>
      <c r="K15" s="426">
        <v>7</v>
      </c>
      <c r="L15" s="426">
        <v>5.5</v>
      </c>
      <c r="M15" s="426">
        <v>2.5</v>
      </c>
      <c r="N15" s="426">
        <v>3</v>
      </c>
      <c r="O15" s="426">
        <v>7</v>
      </c>
      <c r="P15" s="426">
        <v>36</v>
      </c>
      <c r="Q15" s="423">
        <v>425</v>
      </c>
      <c r="R15" s="15"/>
      <c r="S15" s="424">
        <f t="shared" si="0"/>
        <v>102.51246060113102</v>
      </c>
      <c r="T15" s="424">
        <f t="shared" si="1"/>
        <v>1.0983477921549754</v>
      </c>
      <c r="U15" s="425">
        <f t="shared" si="2"/>
        <v>0.3661159307183251</v>
      </c>
      <c r="V15" s="425">
        <f t="shared" si="3"/>
        <v>0.18305796535916255</v>
      </c>
      <c r="W15" s="425">
        <f t="shared" si="4"/>
        <v>0.1281405757514138</v>
      </c>
      <c r="X15" s="425">
        <f t="shared" si="5"/>
        <v>9.1528982679581275E-2</v>
      </c>
      <c r="Y15" s="425">
        <f t="shared" si="6"/>
        <v>0.2562811515028276</v>
      </c>
      <c r="Z15" s="425">
        <f t="shared" si="7"/>
        <v>9.1528982679581275E-2</v>
      </c>
      <c r="AA15" s="425">
        <f t="shared" si="8"/>
        <v>0.2562811515028276</v>
      </c>
      <c r="AB15" s="425">
        <f t="shared" si="9"/>
        <v>0.20136376189507882</v>
      </c>
      <c r="AC15" s="425">
        <f t="shared" si="10"/>
        <v>9.1528982679581275E-2</v>
      </c>
      <c r="AD15" s="425">
        <f t="shared" si="11"/>
        <v>0.10983477921549753</v>
      </c>
      <c r="AE15" s="425">
        <f t="shared" si="12"/>
        <v>0.2562811515028276</v>
      </c>
      <c r="AF15" s="425">
        <f t="shared" si="13"/>
        <v>1.3180173505859702</v>
      </c>
      <c r="AG15" s="441">
        <f t="shared" si="14"/>
        <v>15.559927055528817</v>
      </c>
    </row>
    <row r="16" spans="1:33" x14ac:dyDescent="0.15">
      <c r="A16" s="432" t="s">
        <v>771</v>
      </c>
      <c r="B16" s="422">
        <v>3.5673960088129272E-2</v>
      </c>
      <c r="C16" s="423">
        <v>2800</v>
      </c>
      <c r="D16" s="426">
        <v>27.5</v>
      </c>
      <c r="E16" s="426">
        <v>10</v>
      </c>
      <c r="F16" s="426">
        <v>5</v>
      </c>
      <c r="G16" s="426">
        <v>3.5</v>
      </c>
      <c r="H16" s="426">
        <v>2.5</v>
      </c>
      <c r="I16" s="426">
        <v>7</v>
      </c>
      <c r="J16" s="426">
        <v>2.5</v>
      </c>
      <c r="K16" s="426">
        <v>7</v>
      </c>
      <c r="L16" s="426">
        <v>5.5</v>
      </c>
      <c r="M16" s="426">
        <v>2.5</v>
      </c>
      <c r="N16" s="426">
        <v>3</v>
      </c>
      <c r="O16" s="426">
        <v>7</v>
      </c>
      <c r="P16" s="426">
        <v>36</v>
      </c>
      <c r="Q16" s="423">
        <v>425</v>
      </c>
      <c r="R16" s="15"/>
      <c r="S16" s="424">
        <f t="shared" si="0"/>
        <v>99.887088246761962</v>
      </c>
      <c r="T16" s="424">
        <f t="shared" si="1"/>
        <v>0.98103390242355504</v>
      </c>
      <c r="U16" s="425">
        <f t="shared" si="2"/>
        <v>0.35673960088129275</v>
      </c>
      <c r="V16" s="425">
        <f t="shared" si="3"/>
        <v>0.17836980044064638</v>
      </c>
      <c r="W16" s="425">
        <f t="shared" si="4"/>
        <v>0.12485886030845245</v>
      </c>
      <c r="X16" s="425">
        <f t="shared" si="5"/>
        <v>8.9184900220323188E-2</v>
      </c>
      <c r="Y16" s="425">
        <f t="shared" si="6"/>
        <v>0.24971772061690489</v>
      </c>
      <c r="Z16" s="425">
        <f t="shared" si="7"/>
        <v>8.9184900220323188E-2</v>
      </c>
      <c r="AA16" s="425">
        <f t="shared" si="8"/>
        <v>0.24971772061690489</v>
      </c>
      <c r="AB16" s="425">
        <f t="shared" si="9"/>
        <v>0.19620678048471099</v>
      </c>
      <c r="AC16" s="425">
        <f t="shared" si="10"/>
        <v>8.9184900220323188E-2</v>
      </c>
      <c r="AD16" s="425">
        <f t="shared" si="11"/>
        <v>0.10702188026438782</v>
      </c>
      <c r="AE16" s="425">
        <f t="shared" si="12"/>
        <v>0.24971772061690489</v>
      </c>
      <c r="AF16" s="425">
        <f t="shared" si="13"/>
        <v>1.2842625631726539</v>
      </c>
      <c r="AG16" s="441">
        <f t="shared" si="14"/>
        <v>15.161433037454941</v>
      </c>
    </row>
    <row r="17" spans="1:33" x14ac:dyDescent="0.15">
      <c r="A17" s="432" t="s">
        <v>772</v>
      </c>
      <c r="B17" s="422">
        <v>6.682555198579096E-2</v>
      </c>
      <c r="C17" s="423">
        <v>2600</v>
      </c>
      <c r="D17" s="426">
        <v>27.5</v>
      </c>
      <c r="E17" s="426">
        <v>9</v>
      </c>
      <c r="F17" s="426">
        <v>4.5</v>
      </c>
      <c r="G17" s="426">
        <v>3.5</v>
      </c>
      <c r="H17" s="426">
        <v>2.5</v>
      </c>
      <c r="I17" s="426">
        <v>7</v>
      </c>
      <c r="J17" s="426">
        <v>2.5</v>
      </c>
      <c r="K17" s="426">
        <v>7</v>
      </c>
      <c r="L17" s="426">
        <v>5.5</v>
      </c>
      <c r="M17" s="426">
        <v>2</v>
      </c>
      <c r="N17" s="426">
        <v>3</v>
      </c>
      <c r="O17" s="426">
        <v>6.5</v>
      </c>
      <c r="P17" s="426">
        <v>31</v>
      </c>
      <c r="Q17" s="423">
        <v>410</v>
      </c>
      <c r="R17" s="15"/>
      <c r="S17" s="424">
        <f t="shared" si="0"/>
        <v>173.7464351630565</v>
      </c>
      <c r="T17" s="424">
        <f t="shared" si="1"/>
        <v>1.8377026796092515</v>
      </c>
      <c r="U17" s="425">
        <f t="shared" si="2"/>
        <v>0.60142996787211866</v>
      </c>
      <c r="V17" s="425">
        <f t="shared" si="3"/>
        <v>0.30071498393605933</v>
      </c>
      <c r="W17" s="425">
        <f t="shared" si="4"/>
        <v>0.23388943195026834</v>
      </c>
      <c r="X17" s="425">
        <f t="shared" si="5"/>
        <v>0.16706387996447741</v>
      </c>
      <c r="Y17" s="425">
        <f t="shared" si="6"/>
        <v>0.46777886390053669</v>
      </c>
      <c r="Z17" s="425">
        <f t="shared" si="7"/>
        <v>0.16706387996447741</v>
      </c>
      <c r="AA17" s="425">
        <f t="shared" si="8"/>
        <v>0.46777886390053669</v>
      </c>
      <c r="AB17" s="425">
        <f t="shared" si="9"/>
        <v>0.36754053592185026</v>
      </c>
      <c r="AC17" s="425">
        <f t="shared" si="10"/>
        <v>0.13365110397158192</v>
      </c>
      <c r="AD17" s="425">
        <f t="shared" si="11"/>
        <v>0.20047665595737288</v>
      </c>
      <c r="AE17" s="425">
        <f t="shared" si="12"/>
        <v>0.43436608790764125</v>
      </c>
      <c r="AF17" s="425">
        <f t="shared" si="13"/>
        <v>2.0715921115595197</v>
      </c>
      <c r="AG17" s="441">
        <f t="shared" si="14"/>
        <v>27.398476314174292</v>
      </c>
    </row>
    <row r="18" spans="1:33" x14ac:dyDescent="0.15">
      <c r="A18" s="432" t="s">
        <v>773</v>
      </c>
      <c r="B18" s="422">
        <v>6.6190427017604386E-2</v>
      </c>
      <c r="C18" s="423">
        <v>2600</v>
      </c>
      <c r="D18" s="426">
        <v>27.5</v>
      </c>
      <c r="E18" s="426">
        <v>9</v>
      </c>
      <c r="F18" s="426">
        <v>4.5</v>
      </c>
      <c r="G18" s="426">
        <v>3.5</v>
      </c>
      <c r="H18" s="426">
        <v>2.5</v>
      </c>
      <c r="I18" s="426">
        <v>7</v>
      </c>
      <c r="J18" s="426">
        <v>2.5</v>
      </c>
      <c r="K18" s="426">
        <v>7</v>
      </c>
      <c r="L18" s="426">
        <v>5.5</v>
      </c>
      <c r="M18" s="426">
        <v>2</v>
      </c>
      <c r="N18" s="426">
        <v>3</v>
      </c>
      <c r="O18" s="426">
        <v>6.5</v>
      </c>
      <c r="P18" s="426">
        <v>31</v>
      </c>
      <c r="Q18" s="423">
        <v>410</v>
      </c>
      <c r="R18" s="15"/>
      <c r="S18" s="424">
        <f t="shared" si="0"/>
        <v>172.09511024577139</v>
      </c>
      <c r="T18" s="424">
        <f t="shared" si="1"/>
        <v>1.8202367429841206</v>
      </c>
      <c r="U18" s="425">
        <f t="shared" si="2"/>
        <v>0.59571384315843945</v>
      </c>
      <c r="V18" s="425">
        <f t="shared" si="3"/>
        <v>0.29785692157921972</v>
      </c>
      <c r="W18" s="425">
        <f t="shared" si="4"/>
        <v>0.23166649456161537</v>
      </c>
      <c r="X18" s="425">
        <f t="shared" si="5"/>
        <v>0.16547606754401095</v>
      </c>
      <c r="Y18" s="425">
        <f t="shared" si="6"/>
        <v>0.46333298912323073</v>
      </c>
      <c r="Z18" s="425">
        <f t="shared" si="7"/>
        <v>0.16547606754401095</v>
      </c>
      <c r="AA18" s="425">
        <f t="shared" si="8"/>
        <v>0.46333298912323073</v>
      </c>
      <c r="AB18" s="425">
        <f t="shared" si="9"/>
        <v>0.36404734859682414</v>
      </c>
      <c r="AC18" s="425">
        <f t="shared" si="10"/>
        <v>0.13238085403520877</v>
      </c>
      <c r="AD18" s="425">
        <f t="shared" si="11"/>
        <v>0.19857128105281316</v>
      </c>
      <c r="AE18" s="425">
        <f t="shared" si="12"/>
        <v>0.4302377756144285</v>
      </c>
      <c r="AF18" s="425">
        <f t="shared" si="13"/>
        <v>2.0519032375457358</v>
      </c>
      <c r="AG18" s="441">
        <f t="shared" si="14"/>
        <v>27.138075077217799</v>
      </c>
    </row>
    <row r="19" spans="1:33" x14ac:dyDescent="0.15">
      <c r="A19" s="432" t="s">
        <v>774</v>
      </c>
      <c r="B19" s="422">
        <v>7.1717178954016164E-2</v>
      </c>
      <c r="C19" s="423">
        <v>2400</v>
      </c>
      <c r="D19" s="426">
        <v>27.5</v>
      </c>
      <c r="E19" s="426">
        <v>8</v>
      </c>
      <c r="F19" s="426">
        <v>4</v>
      </c>
      <c r="G19" s="426">
        <v>3</v>
      </c>
      <c r="H19" s="426">
        <v>2</v>
      </c>
      <c r="I19" s="426">
        <v>6</v>
      </c>
      <c r="J19" s="426">
        <v>2</v>
      </c>
      <c r="K19" s="426">
        <v>6</v>
      </c>
      <c r="L19" s="426">
        <v>5</v>
      </c>
      <c r="M19" s="426">
        <v>2</v>
      </c>
      <c r="N19" s="426">
        <v>3</v>
      </c>
      <c r="O19" s="426">
        <v>6.5</v>
      </c>
      <c r="P19" s="426">
        <v>31</v>
      </c>
      <c r="Q19" s="423">
        <v>360</v>
      </c>
      <c r="R19" s="15"/>
      <c r="S19" s="424">
        <f t="shared" si="0"/>
        <v>172.12122948963881</v>
      </c>
      <c r="T19" s="424">
        <f t="shared" si="1"/>
        <v>1.9722224212354444</v>
      </c>
      <c r="U19" s="425">
        <f t="shared" si="2"/>
        <v>0.57373743163212931</v>
      </c>
      <c r="V19" s="425">
        <f t="shared" si="3"/>
        <v>0.28686871581606466</v>
      </c>
      <c r="W19" s="425">
        <f t="shared" si="4"/>
        <v>0.21515153686204849</v>
      </c>
      <c r="X19" s="425">
        <f t="shared" si="5"/>
        <v>0.14343435790803233</v>
      </c>
      <c r="Y19" s="425">
        <f t="shared" si="6"/>
        <v>0.43030307372409698</v>
      </c>
      <c r="Z19" s="425">
        <f t="shared" si="7"/>
        <v>0.14343435790803233</v>
      </c>
      <c r="AA19" s="425">
        <f t="shared" si="8"/>
        <v>0.43030307372409698</v>
      </c>
      <c r="AB19" s="425">
        <f t="shared" si="9"/>
        <v>0.35858589477008085</v>
      </c>
      <c r="AC19" s="425">
        <f t="shared" si="10"/>
        <v>0.14343435790803233</v>
      </c>
      <c r="AD19" s="425">
        <f t="shared" si="11"/>
        <v>0.21515153686204849</v>
      </c>
      <c r="AE19" s="425">
        <f t="shared" si="12"/>
        <v>0.46616166320110508</v>
      </c>
      <c r="AF19" s="425">
        <f t="shared" si="13"/>
        <v>2.2232325475745012</v>
      </c>
      <c r="AG19" s="441">
        <f t="shared" si="14"/>
        <v>25.818184423445818</v>
      </c>
    </row>
    <row r="20" spans="1:33" x14ac:dyDescent="0.15">
      <c r="A20" s="432" t="s">
        <v>775</v>
      </c>
      <c r="B20" s="422">
        <v>3.0846269266569935E-2</v>
      </c>
      <c r="C20" s="423">
        <v>2400</v>
      </c>
      <c r="D20" s="426">
        <v>27.5</v>
      </c>
      <c r="E20" s="426">
        <v>8</v>
      </c>
      <c r="F20" s="426">
        <v>4</v>
      </c>
      <c r="G20" s="426">
        <v>3</v>
      </c>
      <c r="H20" s="426">
        <v>2</v>
      </c>
      <c r="I20" s="426">
        <v>6</v>
      </c>
      <c r="J20" s="426">
        <v>2</v>
      </c>
      <c r="K20" s="426">
        <v>6</v>
      </c>
      <c r="L20" s="426">
        <v>5</v>
      </c>
      <c r="M20" s="426">
        <v>2</v>
      </c>
      <c r="N20" s="426">
        <v>3</v>
      </c>
      <c r="O20" s="426">
        <v>6.5</v>
      </c>
      <c r="P20" s="426">
        <v>31</v>
      </c>
      <c r="Q20" s="423">
        <v>360</v>
      </c>
      <c r="R20" s="15"/>
      <c r="S20" s="424">
        <f t="shared" si="0"/>
        <v>74.031046239767846</v>
      </c>
      <c r="T20" s="424">
        <f t="shared" si="1"/>
        <v>0.84827240483067323</v>
      </c>
      <c r="U20" s="425">
        <f t="shared" si="2"/>
        <v>0.24677015413255948</v>
      </c>
      <c r="V20" s="425">
        <f t="shared" si="3"/>
        <v>0.12338507706627974</v>
      </c>
      <c r="W20" s="425">
        <f t="shared" si="4"/>
        <v>9.2538807799709799E-2</v>
      </c>
      <c r="X20" s="425">
        <f t="shared" si="5"/>
        <v>6.1692538533139871E-2</v>
      </c>
      <c r="Y20" s="425">
        <f t="shared" si="6"/>
        <v>0.1850776155994196</v>
      </c>
      <c r="Z20" s="425">
        <f t="shared" si="7"/>
        <v>6.1692538533139871E-2</v>
      </c>
      <c r="AA20" s="425">
        <f t="shared" si="8"/>
        <v>0.1850776155994196</v>
      </c>
      <c r="AB20" s="425">
        <f t="shared" si="9"/>
        <v>0.15423134633284968</v>
      </c>
      <c r="AC20" s="425">
        <f t="shared" si="10"/>
        <v>6.1692538533139871E-2</v>
      </c>
      <c r="AD20" s="425">
        <f t="shared" si="11"/>
        <v>9.2538807799709799E-2</v>
      </c>
      <c r="AE20" s="425">
        <f t="shared" si="12"/>
        <v>0.20050075023270458</v>
      </c>
      <c r="AF20" s="425">
        <f t="shared" si="13"/>
        <v>0.95623434726366796</v>
      </c>
      <c r="AG20" s="441">
        <f t="shared" si="14"/>
        <v>11.104656935965176</v>
      </c>
    </row>
    <row r="21" spans="1:33" x14ac:dyDescent="0.15">
      <c r="A21" s="432" t="s">
        <v>776</v>
      </c>
      <c r="B21" s="422">
        <v>2.6162321413046623E-2</v>
      </c>
      <c r="C21" s="423">
        <v>2400</v>
      </c>
      <c r="D21" s="426">
        <v>27.5</v>
      </c>
      <c r="E21" s="426">
        <v>8</v>
      </c>
      <c r="F21" s="426">
        <v>4</v>
      </c>
      <c r="G21" s="426">
        <v>3</v>
      </c>
      <c r="H21" s="426">
        <v>2</v>
      </c>
      <c r="I21" s="426">
        <v>6</v>
      </c>
      <c r="J21" s="426">
        <v>2</v>
      </c>
      <c r="K21" s="426">
        <v>6</v>
      </c>
      <c r="L21" s="426">
        <v>5</v>
      </c>
      <c r="M21" s="426">
        <v>2</v>
      </c>
      <c r="N21" s="426">
        <v>3</v>
      </c>
      <c r="O21" s="426">
        <v>6.5</v>
      </c>
      <c r="P21" s="426">
        <v>31</v>
      </c>
      <c r="Q21" s="423">
        <v>360</v>
      </c>
      <c r="R21" s="15"/>
      <c r="S21" s="424">
        <f t="shared" si="0"/>
        <v>62.789571391311895</v>
      </c>
      <c r="T21" s="424">
        <f t="shared" si="1"/>
        <v>0.71946383885878218</v>
      </c>
      <c r="U21" s="425">
        <f t="shared" si="2"/>
        <v>0.20929857130437299</v>
      </c>
      <c r="V21" s="425">
        <f t="shared" si="3"/>
        <v>0.10464928565218649</v>
      </c>
      <c r="W21" s="425">
        <f t="shared" si="4"/>
        <v>7.8486964239139867E-2</v>
      </c>
      <c r="X21" s="425">
        <f t="shared" si="5"/>
        <v>5.2324642826093247E-2</v>
      </c>
      <c r="Y21" s="425">
        <f t="shared" si="6"/>
        <v>0.15697392847827973</v>
      </c>
      <c r="Z21" s="425">
        <f t="shared" si="7"/>
        <v>5.2324642826093247E-2</v>
      </c>
      <c r="AA21" s="425">
        <f t="shared" si="8"/>
        <v>0.15697392847827973</v>
      </c>
      <c r="AB21" s="425">
        <f t="shared" si="9"/>
        <v>0.13081160706523312</v>
      </c>
      <c r="AC21" s="425">
        <f t="shared" si="10"/>
        <v>5.2324642826093247E-2</v>
      </c>
      <c r="AD21" s="425">
        <f t="shared" si="11"/>
        <v>7.8486964239139867E-2</v>
      </c>
      <c r="AE21" s="425">
        <f t="shared" si="12"/>
        <v>0.17005508918480305</v>
      </c>
      <c r="AF21" s="425">
        <f t="shared" si="13"/>
        <v>0.81103196380444531</v>
      </c>
      <c r="AG21" s="441">
        <f t="shared" si="14"/>
        <v>9.4184357086967836</v>
      </c>
    </row>
    <row r="22" spans="1:33" x14ac:dyDescent="0.15">
      <c r="A22" s="432" t="s">
        <v>777</v>
      </c>
      <c r="B22" s="422">
        <v>3.2701748713207315E-2</v>
      </c>
      <c r="C22" s="423">
        <v>2200</v>
      </c>
      <c r="D22" s="426">
        <v>27.5</v>
      </c>
      <c r="E22" s="426">
        <v>7</v>
      </c>
      <c r="F22" s="426">
        <v>3.5</v>
      </c>
      <c r="G22" s="426">
        <v>3</v>
      </c>
      <c r="H22" s="426">
        <v>2</v>
      </c>
      <c r="I22" s="426">
        <v>6</v>
      </c>
      <c r="J22" s="426">
        <v>2</v>
      </c>
      <c r="K22" s="426">
        <v>6</v>
      </c>
      <c r="L22" s="426">
        <v>5</v>
      </c>
      <c r="M22" s="426">
        <v>2</v>
      </c>
      <c r="N22" s="426">
        <v>3</v>
      </c>
      <c r="O22" s="426">
        <v>6</v>
      </c>
      <c r="P22" s="426">
        <v>29</v>
      </c>
      <c r="Q22" s="423">
        <v>290</v>
      </c>
      <c r="R22" s="15"/>
      <c r="S22" s="424">
        <f t="shared" si="0"/>
        <v>71.943847169056099</v>
      </c>
      <c r="T22" s="424">
        <f t="shared" si="1"/>
        <v>0.89929808961320112</v>
      </c>
      <c r="U22" s="425">
        <f t="shared" si="2"/>
        <v>0.22891224099245122</v>
      </c>
      <c r="V22" s="425">
        <f t="shared" si="3"/>
        <v>0.11445612049622561</v>
      </c>
      <c r="W22" s="425">
        <f t="shared" si="4"/>
        <v>9.8105246139621946E-2</v>
      </c>
      <c r="X22" s="425">
        <f t="shared" si="5"/>
        <v>6.5403497426414631E-2</v>
      </c>
      <c r="Y22" s="425">
        <f t="shared" si="6"/>
        <v>0.19621049227924389</v>
      </c>
      <c r="Z22" s="425">
        <f t="shared" si="7"/>
        <v>6.5403497426414631E-2</v>
      </c>
      <c r="AA22" s="425">
        <f t="shared" si="8"/>
        <v>0.19621049227924389</v>
      </c>
      <c r="AB22" s="425">
        <f t="shared" si="9"/>
        <v>0.16350874356603656</v>
      </c>
      <c r="AC22" s="425">
        <f t="shared" si="10"/>
        <v>6.5403497426414631E-2</v>
      </c>
      <c r="AD22" s="425">
        <f t="shared" si="11"/>
        <v>9.8105246139621946E-2</v>
      </c>
      <c r="AE22" s="425">
        <f t="shared" si="12"/>
        <v>0.19621049227924389</v>
      </c>
      <c r="AF22" s="425">
        <f t="shared" si="13"/>
        <v>0.94835071268301219</v>
      </c>
      <c r="AG22" s="441">
        <f t="shared" si="14"/>
        <v>9.483507126830121</v>
      </c>
    </row>
    <row r="23" spans="1:33" x14ac:dyDescent="0.15">
      <c r="A23" s="432" t="s">
        <v>778</v>
      </c>
      <c r="B23" s="422">
        <v>1.7738756762211087E-2</v>
      </c>
      <c r="C23" s="423">
        <v>2200</v>
      </c>
      <c r="D23" s="426">
        <v>27.5</v>
      </c>
      <c r="E23" s="426">
        <v>7</v>
      </c>
      <c r="F23" s="426">
        <v>3.5</v>
      </c>
      <c r="G23" s="426">
        <v>3</v>
      </c>
      <c r="H23" s="426">
        <v>2</v>
      </c>
      <c r="I23" s="426">
        <v>6</v>
      </c>
      <c r="J23" s="426">
        <v>2</v>
      </c>
      <c r="K23" s="426">
        <v>6</v>
      </c>
      <c r="L23" s="426">
        <v>5</v>
      </c>
      <c r="M23" s="426">
        <v>2</v>
      </c>
      <c r="N23" s="426">
        <v>3</v>
      </c>
      <c r="O23" s="426">
        <v>6</v>
      </c>
      <c r="P23" s="426">
        <v>29</v>
      </c>
      <c r="Q23" s="423">
        <v>290</v>
      </c>
      <c r="R23" s="15"/>
      <c r="S23" s="424">
        <f t="shared" si="0"/>
        <v>39.025264876864391</v>
      </c>
      <c r="T23" s="424">
        <f t="shared" si="1"/>
        <v>0.4878158109608049</v>
      </c>
      <c r="U23" s="425">
        <f t="shared" si="2"/>
        <v>0.1241712973354776</v>
      </c>
      <c r="V23" s="425">
        <f t="shared" si="3"/>
        <v>6.2085648667738802E-2</v>
      </c>
      <c r="W23" s="425">
        <f t="shared" si="4"/>
        <v>5.3216270286633262E-2</v>
      </c>
      <c r="X23" s="425">
        <f t="shared" si="5"/>
        <v>3.5477513524422175E-2</v>
      </c>
      <c r="Y23" s="425">
        <f t="shared" si="6"/>
        <v>0.10643254057326652</v>
      </c>
      <c r="Z23" s="425">
        <f t="shared" si="7"/>
        <v>3.5477513524422175E-2</v>
      </c>
      <c r="AA23" s="425">
        <f t="shared" si="8"/>
        <v>0.10643254057326652</v>
      </c>
      <c r="AB23" s="425">
        <f t="shared" si="9"/>
        <v>8.8693783811055443E-2</v>
      </c>
      <c r="AC23" s="425">
        <f t="shared" si="10"/>
        <v>3.5477513524422175E-2</v>
      </c>
      <c r="AD23" s="425">
        <f t="shared" si="11"/>
        <v>5.3216270286633262E-2</v>
      </c>
      <c r="AE23" s="425">
        <f t="shared" si="12"/>
        <v>0.10643254057326652</v>
      </c>
      <c r="AF23" s="425">
        <f t="shared" si="13"/>
        <v>0.51442394610412157</v>
      </c>
      <c r="AG23" s="441">
        <f t="shared" si="14"/>
        <v>5.1442394610412157</v>
      </c>
    </row>
    <row r="24" spans="1:33" x14ac:dyDescent="0.15">
      <c r="A24" s="432" t="s">
        <v>779</v>
      </c>
      <c r="B24" s="422">
        <v>5.7966149457356689E-3</v>
      </c>
      <c r="C24" s="423">
        <v>2200</v>
      </c>
      <c r="D24" s="426">
        <v>27.5</v>
      </c>
      <c r="E24" s="426">
        <v>7</v>
      </c>
      <c r="F24" s="426">
        <v>3.5</v>
      </c>
      <c r="G24" s="426">
        <v>3</v>
      </c>
      <c r="H24" s="426">
        <v>2</v>
      </c>
      <c r="I24" s="426">
        <v>6</v>
      </c>
      <c r="J24" s="426">
        <v>2</v>
      </c>
      <c r="K24" s="426">
        <v>6</v>
      </c>
      <c r="L24" s="426">
        <v>5</v>
      </c>
      <c r="M24" s="426">
        <v>2</v>
      </c>
      <c r="N24" s="426">
        <v>3</v>
      </c>
      <c r="O24" s="426">
        <v>6</v>
      </c>
      <c r="P24" s="426">
        <v>29</v>
      </c>
      <c r="Q24" s="423">
        <v>290</v>
      </c>
      <c r="R24" s="15"/>
      <c r="S24" s="424">
        <f t="shared" si="0"/>
        <v>12.752552880618472</v>
      </c>
      <c r="T24" s="424">
        <f t="shared" si="1"/>
        <v>0.15940691100773088</v>
      </c>
      <c r="U24" s="425">
        <f t="shared" si="2"/>
        <v>4.0576304620149682E-2</v>
      </c>
      <c r="V24" s="425">
        <f t="shared" si="3"/>
        <v>2.0288152310074841E-2</v>
      </c>
      <c r="W24" s="425">
        <f t="shared" si="4"/>
        <v>1.7389844837207007E-2</v>
      </c>
      <c r="X24" s="425">
        <f t="shared" si="5"/>
        <v>1.1593229891471338E-2</v>
      </c>
      <c r="Y24" s="425">
        <f t="shared" si="6"/>
        <v>3.4779689674414013E-2</v>
      </c>
      <c r="Z24" s="425">
        <f t="shared" si="7"/>
        <v>1.1593229891471338E-2</v>
      </c>
      <c r="AA24" s="425">
        <f t="shared" si="8"/>
        <v>3.4779689674414013E-2</v>
      </c>
      <c r="AB24" s="425">
        <f t="shared" si="9"/>
        <v>2.8983074728678344E-2</v>
      </c>
      <c r="AC24" s="425">
        <f t="shared" si="10"/>
        <v>1.1593229891471338E-2</v>
      </c>
      <c r="AD24" s="425">
        <f t="shared" si="11"/>
        <v>1.7389844837207007E-2</v>
      </c>
      <c r="AE24" s="425">
        <f t="shared" si="12"/>
        <v>3.4779689674414013E-2</v>
      </c>
      <c r="AF24" s="425">
        <f t="shared" si="13"/>
        <v>0.16810183342633439</v>
      </c>
      <c r="AG24" s="441">
        <f t="shared" si="14"/>
        <v>1.681018334263344</v>
      </c>
    </row>
    <row r="25" spans="1:33" x14ac:dyDescent="0.15">
      <c r="A25" s="433" t="s">
        <v>780</v>
      </c>
      <c r="B25" s="420"/>
      <c r="C25" s="420"/>
      <c r="D25" s="420"/>
      <c r="E25" s="426"/>
      <c r="F25" s="426"/>
      <c r="G25" s="426"/>
      <c r="H25" s="426"/>
      <c r="I25" s="426"/>
      <c r="J25" s="426"/>
      <c r="K25" s="426"/>
      <c r="L25" s="426"/>
      <c r="M25" s="426"/>
      <c r="N25" s="426"/>
      <c r="O25" s="426"/>
      <c r="P25" s="426"/>
      <c r="Q25" s="423"/>
      <c r="R25" s="15"/>
      <c r="S25" s="427"/>
      <c r="T25" s="427"/>
      <c r="U25" s="425"/>
      <c r="V25" s="425"/>
      <c r="W25" s="425"/>
      <c r="X25" s="425"/>
      <c r="Y25" s="425"/>
      <c r="Z25" s="425"/>
      <c r="AA25" s="425"/>
      <c r="AB25" s="425"/>
      <c r="AC25" s="425"/>
      <c r="AD25" s="425"/>
      <c r="AE25" s="425"/>
      <c r="AF25" s="425"/>
      <c r="AG25" s="441"/>
    </row>
    <row r="26" spans="1:33" x14ac:dyDescent="0.15">
      <c r="A26" s="434" t="s">
        <v>763</v>
      </c>
      <c r="B26" s="422">
        <v>3.2006729762034652E-3</v>
      </c>
      <c r="C26" s="423">
        <v>842.4</v>
      </c>
      <c r="D26" s="420">
        <v>0</v>
      </c>
      <c r="E26" s="420">
        <v>0</v>
      </c>
      <c r="F26" s="420">
        <v>0</v>
      </c>
      <c r="G26" s="420">
        <v>0</v>
      </c>
      <c r="H26" s="420">
        <v>0</v>
      </c>
      <c r="I26" s="420">
        <v>0</v>
      </c>
      <c r="J26" s="420">
        <v>0</v>
      </c>
      <c r="K26" s="420">
        <v>0</v>
      </c>
      <c r="L26" s="420">
        <v>0</v>
      </c>
      <c r="M26" s="420">
        <v>0</v>
      </c>
      <c r="N26" s="420">
        <v>0</v>
      </c>
      <c r="O26" s="420">
        <v>0</v>
      </c>
      <c r="P26" s="420">
        <v>0</v>
      </c>
      <c r="Q26" s="420">
        <v>0</v>
      </c>
      <c r="R26" s="15"/>
      <c r="S26" s="424">
        <f t="shared" ref="S26:S42" si="15">B26*C26</f>
        <v>2.6962469151537989</v>
      </c>
      <c r="T26" s="424">
        <f t="shared" ref="T26:T42" si="16">B26*D26</f>
        <v>0</v>
      </c>
      <c r="U26" s="425">
        <f t="shared" ref="U26:U42" si="17">E26*B26</f>
        <v>0</v>
      </c>
      <c r="V26" s="425">
        <f t="shared" ref="V26:V42" si="18">B26*F26</f>
        <v>0</v>
      </c>
      <c r="W26" s="425">
        <f t="shared" ref="W26:W42" si="19">G26*B26</f>
        <v>0</v>
      </c>
      <c r="X26" s="425">
        <f t="shared" ref="X26:X42" si="20">H26*B26</f>
        <v>0</v>
      </c>
      <c r="Y26" s="425">
        <f t="shared" ref="Y26:Y42" si="21">I26*B26</f>
        <v>0</v>
      </c>
      <c r="Z26" s="425">
        <f t="shared" ref="Z26:Z42" si="22">J26*B26</f>
        <v>0</v>
      </c>
      <c r="AA26" s="425">
        <f t="shared" ref="AA26:AA42" si="23">K26*B26</f>
        <v>0</v>
      </c>
      <c r="AB26" s="425">
        <f t="shared" ref="AB26:AB42" si="24">L26*B26</f>
        <v>0</v>
      </c>
      <c r="AC26" s="425">
        <f t="shared" ref="AC26:AC42" si="25">M26*B26</f>
        <v>0</v>
      </c>
      <c r="AD26" s="425">
        <f t="shared" ref="AD26:AD42" si="26">N26*B26</f>
        <v>0</v>
      </c>
      <c r="AE26" s="425">
        <f t="shared" ref="AE26:AE42" si="27">O26*B26</f>
        <v>0</v>
      </c>
      <c r="AF26" s="425">
        <f t="shared" ref="AF26:AF42" si="28">P26*B26</f>
        <v>0</v>
      </c>
      <c r="AG26" s="441">
        <f t="shared" ref="AG26:AG42" si="29">Q26*B26</f>
        <v>0</v>
      </c>
    </row>
    <row r="27" spans="1:33" x14ac:dyDescent="0.15">
      <c r="A27" s="434" t="s">
        <v>764</v>
      </c>
      <c r="B27" s="422">
        <v>9.6020189286103955E-3</v>
      </c>
      <c r="C27" s="420">
        <v>1078</v>
      </c>
      <c r="D27" s="420">
        <v>0</v>
      </c>
      <c r="E27" s="420">
        <v>0</v>
      </c>
      <c r="F27" s="420">
        <v>0</v>
      </c>
      <c r="G27" s="420">
        <v>0</v>
      </c>
      <c r="H27" s="420">
        <v>0</v>
      </c>
      <c r="I27" s="420">
        <v>0</v>
      </c>
      <c r="J27" s="420">
        <v>0</v>
      </c>
      <c r="K27" s="420">
        <v>0</v>
      </c>
      <c r="L27" s="420">
        <v>0</v>
      </c>
      <c r="M27" s="420">
        <v>0</v>
      </c>
      <c r="N27" s="420">
        <v>0</v>
      </c>
      <c r="O27" s="420">
        <v>0</v>
      </c>
      <c r="P27" s="420">
        <v>0</v>
      </c>
      <c r="Q27" s="420">
        <v>0</v>
      </c>
      <c r="R27" s="15"/>
      <c r="S27" s="424">
        <f t="shared" si="15"/>
        <v>10.350976405042006</v>
      </c>
      <c r="T27" s="424">
        <f t="shared" si="16"/>
        <v>0</v>
      </c>
      <c r="U27" s="425">
        <f t="shared" si="17"/>
        <v>0</v>
      </c>
      <c r="V27" s="425">
        <f t="shared" si="18"/>
        <v>0</v>
      </c>
      <c r="W27" s="425">
        <f t="shared" si="19"/>
        <v>0</v>
      </c>
      <c r="X27" s="425">
        <f t="shared" si="20"/>
        <v>0</v>
      </c>
      <c r="Y27" s="425">
        <f t="shared" si="21"/>
        <v>0</v>
      </c>
      <c r="Z27" s="425">
        <f t="shared" si="22"/>
        <v>0</v>
      </c>
      <c r="AA27" s="425">
        <f t="shared" si="23"/>
        <v>0</v>
      </c>
      <c r="AB27" s="425">
        <f t="shared" si="24"/>
        <v>0</v>
      </c>
      <c r="AC27" s="425">
        <f t="shared" si="25"/>
        <v>0</v>
      </c>
      <c r="AD27" s="425">
        <f t="shared" si="26"/>
        <v>0</v>
      </c>
      <c r="AE27" s="425">
        <f t="shared" si="27"/>
        <v>0</v>
      </c>
      <c r="AF27" s="425">
        <f t="shared" si="28"/>
        <v>0</v>
      </c>
      <c r="AG27" s="441">
        <f t="shared" si="29"/>
        <v>0</v>
      </c>
    </row>
    <row r="28" spans="1:33" x14ac:dyDescent="0.15">
      <c r="A28" s="434" t="s">
        <v>765</v>
      </c>
      <c r="B28" s="422">
        <v>6.4013459524069304E-3</v>
      </c>
      <c r="C28" s="420">
        <v>1000</v>
      </c>
      <c r="D28" s="420">
        <v>35</v>
      </c>
      <c r="E28" s="420">
        <v>3</v>
      </c>
      <c r="F28" s="420">
        <v>1.5</v>
      </c>
      <c r="G28" s="420">
        <v>1</v>
      </c>
      <c r="H28" s="420">
        <v>0.5</v>
      </c>
      <c r="I28" s="420">
        <v>2.5</v>
      </c>
      <c r="J28" s="420">
        <v>0.5</v>
      </c>
      <c r="K28" s="420">
        <v>2</v>
      </c>
      <c r="L28" s="420">
        <v>1.5</v>
      </c>
      <c r="M28" s="420">
        <v>1</v>
      </c>
      <c r="N28" s="420">
        <v>2</v>
      </c>
      <c r="O28" s="420">
        <v>2</v>
      </c>
      <c r="P28" s="420">
        <v>15</v>
      </c>
      <c r="Q28" s="420">
        <v>165</v>
      </c>
      <c r="R28" s="15"/>
      <c r="S28" s="424">
        <f t="shared" si="15"/>
        <v>6.4013459524069303</v>
      </c>
      <c r="T28" s="424">
        <f t="shared" si="16"/>
        <v>0.22404710833424257</v>
      </c>
      <c r="U28" s="425">
        <f t="shared" si="17"/>
        <v>1.9204037857220791E-2</v>
      </c>
      <c r="V28" s="425">
        <f t="shared" si="18"/>
        <v>9.6020189286103955E-3</v>
      </c>
      <c r="W28" s="425">
        <f t="shared" si="19"/>
        <v>6.4013459524069304E-3</v>
      </c>
      <c r="X28" s="425">
        <f t="shared" si="20"/>
        <v>3.2006729762034652E-3</v>
      </c>
      <c r="Y28" s="425">
        <f t="shared" si="21"/>
        <v>1.6003364881017328E-2</v>
      </c>
      <c r="Z28" s="425">
        <f t="shared" si="22"/>
        <v>3.2006729762034652E-3</v>
      </c>
      <c r="AA28" s="425">
        <f t="shared" si="23"/>
        <v>1.2802691904813861E-2</v>
      </c>
      <c r="AB28" s="425">
        <f t="shared" si="24"/>
        <v>9.6020189286103955E-3</v>
      </c>
      <c r="AC28" s="425">
        <f t="shared" si="25"/>
        <v>6.4013459524069304E-3</v>
      </c>
      <c r="AD28" s="425">
        <f t="shared" si="26"/>
        <v>1.2802691904813861E-2</v>
      </c>
      <c r="AE28" s="425">
        <f t="shared" si="27"/>
        <v>1.2802691904813861E-2</v>
      </c>
      <c r="AF28" s="425">
        <f t="shared" si="28"/>
        <v>9.6020189286103952E-2</v>
      </c>
      <c r="AG28" s="441">
        <f t="shared" si="29"/>
        <v>1.0562220821471435</v>
      </c>
    </row>
    <row r="29" spans="1:33" x14ac:dyDescent="0.15">
      <c r="A29" s="434" t="s">
        <v>766</v>
      </c>
      <c r="B29" s="422">
        <v>6.4013459524069304E-3</v>
      </c>
      <c r="C29" s="420">
        <v>1200</v>
      </c>
      <c r="D29" s="420">
        <v>35</v>
      </c>
      <c r="E29" s="420">
        <v>4</v>
      </c>
      <c r="F29" s="420">
        <v>2</v>
      </c>
      <c r="G29" s="420">
        <v>1.5</v>
      </c>
      <c r="H29" s="420">
        <v>1</v>
      </c>
      <c r="I29" s="420">
        <v>3</v>
      </c>
      <c r="J29" s="420">
        <v>0.5</v>
      </c>
      <c r="K29" s="420">
        <v>3.5</v>
      </c>
      <c r="L29" s="420">
        <v>2.5</v>
      </c>
      <c r="M29" s="420">
        <v>1</v>
      </c>
      <c r="N29" s="420">
        <v>2</v>
      </c>
      <c r="O29" s="420">
        <v>3</v>
      </c>
      <c r="P29" s="420">
        <v>17</v>
      </c>
      <c r="Q29" s="420">
        <v>170</v>
      </c>
      <c r="R29" s="15"/>
      <c r="S29" s="424">
        <f t="shared" si="15"/>
        <v>7.6816151428883162</v>
      </c>
      <c r="T29" s="424">
        <f t="shared" si="16"/>
        <v>0.22404710833424257</v>
      </c>
      <c r="U29" s="425">
        <f t="shared" si="17"/>
        <v>2.5605383809627721E-2</v>
      </c>
      <c r="V29" s="425">
        <f t="shared" si="18"/>
        <v>1.2802691904813861E-2</v>
      </c>
      <c r="W29" s="425">
        <f t="shared" si="19"/>
        <v>9.6020189286103955E-3</v>
      </c>
      <c r="X29" s="425">
        <f t="shared" si="20"/>
        <v>6.4013459524069304E-3</v>
      </c>
      <c r="Y29" s="425">
        <f t="shared" si="21"/>
        <v>1.9204037857220791E-2</v>
      </c>
      <c r="Z29" s="425">
        <f t="shared" si="22"/>
        <v>3.2006729762034652E-3</v>
      </c>
      <c r="AA29" s="425">
        <f t="shared" si="23"/>
        <v>2.2404710833424255E-2</v>
      </c>
      <c r="AB29" s="425">
        <f t="shared" si="24"/>
        <v>1.6003364881017328E-2</v>
      </c>
      <c r="AC29" s="425">
        <f t="shared" si="25"/>
        <v>6.4013459524069304E-3</v>
      </c>
      <c r="AD29" s="425">
        <f t="shared" si="26"/>
        <v>1.2802691904813861E-2</v>
      </c>
      <c r="AE29" s="425">
        <f t="shared" si="27"/>
        <v>1.9204037857220791E-2</v>
      </c>
      <c r="AF29" s="425">
        <f t="shared" si="28"/>
        <v>0.10882288119091782</v>
      </c>
      <c r="AG29" s="441">
        <f t="shared" si="29"/>
        <v>1.0882288119091781</v>
      </c>
    </row>
    <row r="30" spans="1:33" x14ac:dyDescent="0.15">
      <c r="A30" s="434" t="s">
        <v>767</v>
      </c>
      <c r="B30" s="422">
        <v>6.4013459524069304E-3</v>
      </c>
      <c r="C30" s="420">
        <v>1400</v>
      </c>
      <c r="D30" s="420">
        <v>30</v>
      </c>
      <c r="E30" s="420">
        <v>5</v>
      </c>
      <c r="F30" s="420">
        <v>2.5</v>
      </c>
      <c r="G30" s="420">
        <v>1.5</v>
      </c>
      <c r="H30" s="420">
        <v>1</v>
      </c>
      <c r="I30" s="420">
        <v>3</v>
      </c>
      <c r="J30" s="420">
        <v>0.5</v>
      </c>
      <c r="K30" s="420">
        <v>3.5</v>
      </c>
      <c r="L30" s="420">
        <v>2.5</v>
      </c>
      <c r="M30" s="420">
        <v>1.5</v>
      </c>
      <c r="N30" s="420">
        <v>2</v>
      </c>
      <c r="O30" s="420">
        <v>4</v>
      </c>
      <c r="P30" s="420">
        <v>17</v>
      </c>
      <c r="Q30" s="420">
        <v>170</v>
      </c>
      <c r="R30" s="15"/>
      <c r="S30" s="424">
        <f t="shared" si="15"/>
        <v>8.9618843333697029</v>
      </c>
      <c r="T30" s="424">
        <f t="shared" si="16"/>
        <v>0.1920403785722079</v>
      </c>
      <c r="U30" s="425">
        <f t="shared" si="17"/>
        <v>3.2006729762034655E-2</v>
      </c>
      <c r="V30" s="425">
        <f t="shared" si="18"/>
        <v>1.6003364881017328E-2</v>
      </c>
      <c r="W30" s="425">
        <f t="shared" si="19"/>
        <v>9.6020189286103955E-3</v>
      </c>
      <c r="X30" s="425">
        <f t="shared" si="20"/>
        <v>6.4013459524069304E-3</v>
      </c>
      <c r="Y30" s="425">
        <f t="shared" si="21"/>
        <v>1.9204037857220791E-2</v>
      </c>
      <c r="Z30" s="425">
        <f t="shared" si="22"/>
        <v>3.2006729762034652E-3</v>
      </c>
      <c r="AA30" s="425">
        <f t="shared" si="23"/>
        <v>2.2404710833424255E-2</v>
      </c>
      <c r="AB30" s="425">
        <f t="shared" si="24"/>
        <v>1.6003364881017328E-2</v>
      </c>
      <c r="AC30" s="425">
        <f t="shared" si="25"/>
        <v>9.6020189286103955E-3</v>
      </c>
      <c r="AD30" s="425">
        <f t="shared" si="26"/>
        <v>1.2802691904813861E-2</v>
      </c>
      <c r="AE30" s="425">
        <f t="shared" si="27"/>
        <v>2.5605383809627721E-2</v>
      </c>
      <c r="AF30" s="425">
        <f t="shared" si="28"/>
        <v>0.10882288119091782</v>
      </c>
      <c r="AG30" s="441">
        <f t="shared" si="29"/>
        <v>1.0882288119091781</v>
      </c>
    </row>
    <row r="31" spans="1:33" x14ac:dyDescent="0.15">
      <c r="A31" s="435" t="s">
        <v>768</v>
      </c>
      <c r="B31" s="422">
        <v>3.2256398147525615E-2</v>
      </c>
      <c r="C31" s="423">
        <v>1600</v>
      </c>
      <c r="D31" s="426">
        <v>30</v>
      </c>
      <c r="E31" s="426">
        <v>5</v>
      </c>
      <c r="F31" s="426">
        <v>3</v>
      </c>
      <c r="G31" s="426">
        <v>2</v>
      </c>
      <c r="H31" s="426">
        <v>1.5</v>
      </c>
      <c r="I31" s="426">
        <v>4</v>
      </c>
      <c r="J31" s="426">
        <v>1</v>
      </c>
      <c r="K31" s="426">
        <v>4</v>
      </c>
      <c r="L31" s="426">
        <v>3.5</v>
      </c>
      <c r="M31" s="426">
        <v>1.5</v>
      </c>
      <c r="N31" s="426">
        <v>2</v>
      </c>
      <c r="O31" s="426">
        <v>5</v>
      </c>
      <c r="P31" s="426">
        <v>22</v>
      </c>
      <c r="Q31" s="423">
        <v>130</v>
      </c>
      <c r="R31" s="15"/>
      <c r="S31" s="424">
        <f t="shared" si="15"/>
        <v>51.610237036040985</v>
      </c>
      <c r="T31" s="424">
        <f t="shared" si="16"/>
        <v>0.96769194442576845</v>
      </c>
      <c r="U31" s="425">
        <f t="shared" si="17"/>
        <v>0.16128199073762808</v>
      </c>
      <c r="V31" s="425">
        <f t="shared" si="18"/>
        <v>9.6769194442576839E-2</v>
      </c>
      <c r="W31" s="425">
        <f t="shared" si="19"/>
        <v>6.4512796295051231E-2</v>
      </c>
      <c r="X31" s="425">
        <f t="shared" si="20"/>
        <v>4.838459722128842E-2</v>
      </c>
      <c r="Y31" s="425">
        <f t="shared" si="21"/>
        <v>0.12902559259010246</v>
      </c>
      <c r="Z31" s="425">
        <f t="shared" si="22"/>
        <v>3.2256398147525615E-2</v>
      </c>
      <c r="AA31" s="425">
        <f t="shared" si="23"/>
        <v>0.12902559259010246</v>
      </c>
      <c r="AB31" s="425">
        <f t="shared" si="24"/>
        <v>0.11289739351633965</v>
      </c>
      <c r="AC31" s="425">
        <f t="shared" si="25"/>
        <v>4.838459722128842E-2</v>
      </c>
      <c r="AD31" s="425">
        <f t="shared" si="26"/>
        <v>6.4512796295051231E-2</v>
      </c>
      <c r="AE31" s="425">
        <f t="shared" si="27"/>
        <v>0.16128199073762808</v>
      </c>
      <c r="AF31" s="425">
        <f t="shared" si="28"/>
        <v>0.70964075924556358</v>
      </c>
      <c r="AG31" s="441">
        <f t="shared" si="29"/>
        <v>4.1933317591783297</v>
      </c>
    </row>
    <row r="32" spans="1:33" x14ac:dyDescent="0.15">
      <c r="A32" s="435" t="s">
        <v>769</v>
      </c>
      <c r="B32" s="422">
        <v>3.2704381949642945E-2</v>
      </c>
      <c r="C32" s="423">
        <v>2000</v>
      </c>
      <c r="D32" s="426">
        <v>30</v>
      </c>
      <c r="E32" s="426">
        <v>6</v>
      </c>
      <c r="F32" s="426">
        <v>3</v>
      </c>
      <c r="G32" s="426">
        <v>2.5</v>
      </c>
      <c r="H32" s="426">
        <v>1.5</v>
      </c>
      <c r="I32" s="426">
        <v>5.5</v>
      </c>
      <c r="J32" s="426">
        <v>1.5</v>
      </c>
      <c r="K32" s="426">
        <v>5</v>
      </c>
      <c r="L32" s="426">
        <v>4</v>
      </c>
      <c r="M32" s="426">
        <v>2</v>
      </c>
      <c r="N32" s="426">
        <v>3</v>
      </c>
      <c r="O32" s="426">
        <v>5.5</v>
      </c>
      <c r="P32" s="426">
        <v>27</v>
      </c>
      <c r="Q32" s="423">
        <v>265</v>
      </c>
      <c r="R32" s="15"/>
      <c r="S32" s="424">
        <f t="shared" si="15"/>
        <v>65.408763899285887</v>
      </c>
      <c r="T32" s="424">
        <f t="shared" si="16"/>
        <v>0.9811314584892884</v>
      </c>
      <c r="U32" s="425">
        <f t="shared" si="17"/>
        <v>0.19622629169785766</v>
      </c>
      <c r="V32" s="425">
        <f t="shared" si="18"/>
        <v>9.8113145848928829E-2</v>
      </c>
      <c r="W32" s="425">
        <f t="shared" si="19"/>
        <v>8.1760954874107367E-2</v>
      </c>
      <c r="X32" s="425">
        <f t="shared" si="20"/>
        <v>4.9056572924464414E-2</v>
      </c>
      <c r="Y32" s="425">
        <f t="shared" si="21"/>
        <v>0.1798741007230362</v>
      </c>
      <c r="Z32" s="425">
        <f t="shared" si="22"/>
        <v>4.9056572924464414E-2</v>
      </c>
      <c r="AA32" s="425">
        <f t="shared" si="23"/>
        <v>0.16352190974821473</v>
      </c>
      <c r="AB32" s="425">
        <f t="shared" si="24"/>
        <v>0.13081752779857178</v>
      </c>
      <c r="AC32" s="425">
        <f t="shared" si="25"/>
        <v>6.5408763899285891E-2</v>
      </c>
      <c r="AD32" s="425">
        <f t="shared" si="26"/>
        <v>9.8113145848928829E-2</v>
      </c>
      <c r="AE32" s="425">
        <f t="shared" si="27"/>
        <v>0.1798741007230362</v>
      </c>
      <c r="AF32" s="425">
        <f t="shared" si="28"/>
        <v>0.88301831264035957</v>
      </c>
      <c r="AG32" s="441">
        <f t="shared" si="29"/>
        <v>8.6666612166553811</v>
      </c>
    </row>
    <row r="33" spans="1:33" x14ac:dyDescent="0.15">
      <c r="A33" s="435" t="s">
        <v>770</v>
      </c>
      <c r="B33" s="422">
        <v>3.477516491266669E-2</v>
      </c>
      <c r="C33" s="423">
        <v>2000</v>
      </c>
      <c r="D33" s="426">
        <v>30</v>
      </c>
      <c r="E33" s="426">
        <v>6</v>
      </c>
      <c r="F33" s="426">
        <v>3</v>
      </c>
      <c r="G33" s="426">
        <v>2.5</v>
      </c>
      <c r="H33" s="426">
        <v>1.5</v>
      </c>
      <c r="I33" s="426">
        <v>5.5</v>
      </c>
      <c r="J33" s="426">
        <v>1.5</v>
      </c>
      <c r="K33" s="426">
        <v>5</v>
      </c>
      <c r="L33" s="426">
        <v>4</v>
      </c>
      <c r="M33" s="426">
        <v>2</v>
      </c>
      <c r="N33" s="426">
        <v>3</v>
      </c>
      <c r="O33" s="426">
        <v>5.5</v>
      </c>
      <c r="P33" s="426">
        <v>27</v>
      </c>
      <c r="Q33" s="423">
        <v>265</v>
      </c>
      <c r="R33" s="15"/>
      <c r="S33" s="424">
        <f t="shared" si="15"/>
        <v>69.550329825333378</v>
      </c>
      <c r="T33" s="424">
        <f t="shared" si="16"/>
        <v>1.0432549473800008</v>
      </c>
      <c r="U33" s="425">
        <f t="shared" si="17"/>
        <v>0.20865098947600014</v>
      </c>
      <c r="V33" s="425">
        <f t="shared" si="18"/>
        <v>0.10432549473800007</v>
      </c>
      <c r="W33" s="425">
        <f t="shared" si="19"/>
        <v>8.6937912281666724E-2</v>
      </c>
      <c r="X33" s="425">
        <f t="shared" si="20"/>
        <v>5.2162747369000034E-2</v>
      </c>
      <c r="Y33" s="425">
        <f t="shared" si="21"/>
        <v>0.19126340701966679</v>
      </c>
      <c r="Z33" s="425">
        <f t="shared" si="22"/>
        <v>5.2162747369000034E-2</v>
      </c>
      <c r="AA33" s="425">
        <f t="shared" si="23"/>
        <v>0.17387582456333345</v>
      </c>
      <c r="AB33" s="425">
        <f t="shared" si="24"/>
        <v>0.13910065965066676</v>
      </c>
      <c r="AC33" s="425">
        <f t="shared" si="25"/>
        <v>6.9550329825333379E-2</v>
      </c>
      <c r="AD33" s="425">
        <f t="shared" si="26"/>
        <v>0.10432549473800007</v>
      </c>
      <c r="AE33" s="425">
        <f t="shared" si="27"/>
        <v>0.19126340701966679</v>
      </c>
      <c r="AF33" s="425">
        <f t="shared" si="28"/>
        <v>0.93892945264200067</v>
      </c>
      <c r="AG33" s="441">
        <f t="shared" si="29"/>
        <v>9.215418701856672</v>
      </c>
    </row>
    <row r="34" spans="1:33" x14ac:dyDescent="0.15">
      <c r="A34" s="435" t="s">
        <v>771</v>
      </c>
      <c r="B34" s="422">
        <v>3.4241217115176574E-2</v>
      </c>
      <c r="C34" s="423">
        <v>2200</v>
      </c>
      <c r="D34" s="426">
        <v>27.5</v>
      </c>
      <c r="E34" s="426">
        <v>7</v>
      </c>
      <c r="F34" s="426">
        <v>3.5</v>
      </c>
      <c r="G34" s="426">
        <v>3</v>
      </c>
      <c r="H34" s="426">
        <v>2</v>
      </c>
      <c r="I34" s="426">
        <v>6</v>
      </c>
      <c r="J34" s="426">
        <v>2</v>
      </c>
      <c r="K34" s="426">
        <v>6</v>
      </c>
      <c r="L34" s="426">
        <v>5</v>
      </c>
      <c r="M34" s="426">
        <v>2</v>
      </c>
      <c r="N34" s="426">
        <v>3</v>
      </c>
      <c r="O34" s="426">
        <v>6</v>
      </c>
      <c r="P34" s="426">
        <v>29</v>
      </c>
      <c r="Q34" s="423">
        <v>290</v>
      </c>
      <c r="R34" s="15"/>
      <c r="S34" s="424">
        <f t="shared" si="15"/>
        <v>75.330677653388463</v>
      </c>
      <c r="T34" s="424">
        <f t="shared" si="16"/>
        <v>0.94163347066735581</v>
      </c>
      <c r="U34" s="425">
        <f t="shared" si="17"/>
        <v>0.23968851980623601</v>
      </c>
      <c r="V34" s="425">
        <f t="shared" si="18"/>
        <v>0.11984425990311801</v>
      </c>
      <c r="W34" s="425">
        <f t="shared" si="19"/>
        <v>0.10272365134552972</v>
      </c>
      <c r="X34" s="425">
        <f t="shared" si="20"/>
        <v>6.8482434230353148E-2</v>
      </c>
      <c r="Y34" s="425">
        <f t="shared" si="21"/>
        <v>0.20544730269105943</v>
      </c>
      <c r="Z34" s="425">
        <f t="shared" si="22"/>
        <v>6.8482434230353148E-2</v>
      </c>
      <c r="AA34" s="425">
        <f t="shared" si="23"/>
        <v>0.20544730269105943</v>
      </c>
      <c r="AB34" s="425">
        <f t="shared" si="24"/>
        <v>0.17120608557588288</v>
      </c>
      <c r="AC34" s="425">
        <f t="shared" si="25"/>
        <v>6.8482434230353148E-2</v>
      </c>
      <c r="AD34" s="425">
        <f t="shared" si="26"/>
        <v>0.10272365134552972</v>
      </c>
      <c r="AE34" s="425">
        <f t="shared" si="27"/>
        <v>0.20544730269105943</v>
      </c>
      <c r="AF34" s="425">
        <f t="shared" si="28"/>
        <v>0.99299529634012063</v>
      </c>
      <c r="AG34" s="441">
        <f t="shared" si="29"/>
        <v>9.929952963401206</v>
      </c>
    </row>
    <row r="35" spans="1:33" x14ac:dyDescent="0.15">
      <c r="A35" s="435" t="s">
        <v>772</v>
      </c>
      <c r="B35" s="422">
        <v>6.6177011439109451E-2</v>
      </c>
      <c r="C35" s="423">
        <v>2200</v>
      </c>
      <c r="D35" s="426">
        <v>27.5</v>
      </c>
      <c r="E35" s="426">
        <v>7</v>
      </c>
      <c r="F35" s="426">
        <v>3.5</v>
      </c>
      <c r="G35" s="426">
        <v>3</v>
      </c>
      <c r="H35" s="426">
        <v>2</v>
      </c>
      <c r="I35" s="426">
        <v>6</v>
      </c>
      <c r="J35" s="426">
        <v>2</v>
      </c>
      <c r="K35" s="426">
        <v>6</v>
      </c>
      <c r="L35" s="426">
        <v>5</v>
      </c>
      <c r="M35" s="426">
        <v>2</v>
      </c>
      <c r="N35" s="426">
        <v>3</v>
      </c>
      <c r="O35" s="426">
        <v>6</v>
      </c>
      <c r="P35" s="426">
        <v>29</v>
      </c>
      <c r="Q35" s="423">
        <v>290</v>
      </c>
      <c r="R35" s="15"/>
      <c r="S35" s="424">
        <f t="shared" si="15"/>
        <v>145.5894251660408</v>
      </c>
      <c r="T35" s="424">
        <f t="shared" si="16"/>
        <v>1.8198678145755098</v>
      </c>
      <c r="U35" s="425">
        <f t="shared" si="17"/>
        <v>0.46323908007376613</v>
      </c>
      <c r="V35" s="425">
        <f t="shared" si="18"/>
        <v>0.23161954003688306</v>
      </c>
      <c r="W35" s="425">
        <f t="shared" si="19"/>
        <v>0.19853103431732835</v>
      </c>
      <c r="X35" s="425">
        <f t="shared" si="20"/>
        <v>0.1323540228782189</v>
      </c>
      <c r="Y35" s="425">
        <f t="shared" si="21"/>
        <v>0.39706206863465671</v>
      </c>
      <c r="Z35" s="425">
        <f t="shared" si="22"/>
        <v>0.1323540228782189</v>
      </c>
      <c r="AA35" s="425">
        <f t="shared" si="23"/>
        <v>0.39706206863465671</v>
      </c>
      <c r="AB35" s="425">
        <f t="shared" si="24"/>
        <v>0.33088505719554728</v>
      </c>
      <c r="AC35" s="425">
        <f t="shared" si="25"/>
        <v>0.1323540228782189</v>
      </c>
      <c r="AD35" s="425">
        <f t="shared" si="26"/>
        <v>0.19853103431732835</v>
      </c>
      <c r="AE35" s="425">
        <f t="shared" si="27"/>
        <v>0.39706206863465671</v>
      </c>
      <c r="AF35" s="425">
        <f t="shared" si="28"/>
        <v>1.9191333317341741</v>
      </c>
      <c r="AG35" s="441">
        <f t="shared" si="29"/>
        <v>19.191333317341741</v>
      </c>
    </row>
    <row r="36" spans="1:33" x14ac:dyDescent="0.15">
      <c r="A36" s="435" t="s">
        <v>773</v>
      </c>
      <c r="B36" s="422">
        <v>6.6833701091414635E-2</v>
      </c>
      <c r="C36" s="423">
        <v>2000</v>
      </c>
      <c r="D36" s="426">
        <v>27.5</v>
      </c>
      <c r="E36" s="426">
        <v>6</v>
      </c>
      <c r="F36" s="426">
        <v>3</v>
      </c>
      <c r="G36" s="426">
        <v>2.5</v>
      </c>
      <c r="H36" s="426">
        <v>1.5</v>
      </c>
      <c r="I36" s="426">
        <v>5.5</v>
      </c>
      <c r="J36" s="426">
        <v>1.5</v>
      </c>
      <c r="K36" s="426">
        <v>5</v>
      </c>
      <c r="L36" s="426">
        <v>4</v>
      </c>
      <c r="M36" s="426">
        <v>2</v>
      </c>
      <c r="N36" s="426">
        <v>3</v>
      </c>
      <c r="O36" s="426">
        <v>5.5</v>
      </c>
      <c r="P36" s="426">
        <v>27</v>
      </c>
      <c r="Q36" s="423">
        <v>265</v>
      </c>
      <c r="R36" s="15"/>
      <c r="S36" s="424">
        <f t="shared" si="15"/>
        <v>133.66740218282928</v>
      </c>
      <c r="T36" s="424">
        <f t="shared" si="16"/>
        <v>1.8379267800139025</v>
      </c>
      <c r="U36" s="425">
        <f t="shared" si="17"/>
        <v>0.40100220654848784</v>
      </c>
      <c r="V36" s="425">
        <f t="shared" si="18"/>
        <v>0.20050110327424392</v>
      </c>
      <c r="W36" s="425">
        <f t="shared" si="19"/>
        <v>0.16708425272853658</v>
      </c>
      <c r="X36" s="425">
        <f t="shared" si="20"/>
        <v>0.10025055163712196</v>
      </c>
      <c r="Y36" s="425">
        <f t="shared" si="21"/>
        <v>0.36758535600278047</v>
      </c>
      <c r="Z36" s="425">
        <f t="shared" si="22"/>
        <v>0.10025055163712196</v>
      </c>
      <c r="AA36" s="425">
        <f t="shared" si="23"/>
        <v>0.33416850545707316</v>
      </c>
      <c r="AB36" s="425">
        <f t="shared" si="24"/>
        <v>0.26733480436565854</v>
      </c>
      <c r="AC36" s="425">
        <f t="shared" si="25"/>
        <v>0.13366740218282927</v>
      </c>
      <c r="AD36" s="425">
        <f t="shared" si="26"/>
        <v>0.20050110327424392</v>
      </c>
      <c r="AE36" s="425">
        <f t="shared" si="27"/>
        <v>0.36758535600278047</v>
      </c>
      <c r="AF36" s="425">
        <f t="shared" si="28"/>
        <v>1.8045099294681952</v>
      </c>
      <c r="AG36" s="441">
        <f t="shared" si="29"/>
        <v>17.710930789224879</v>
      </c>
    </row>
    <row r="37" spans="1:33" x14ac:dyDescent="0.15">
      <c r="A37" s="435" t="s">
        <v>774</v>
      </c>
      <c r="B37" s="422">
        <v>7.4055667810169298E-2</v>
      </c>
      <c r="C37" s="423">
        <v>2000</v>
      </c>
      <c r="D37" s="426">
        <v>27.5</v>
      </c>
      <c r="E37" s="426">
        <v>6</v>
      </c>
      <c r="F37" s="426">
        <v>3</v>
      </c>
      <c r="G37" s="426">
        <v>2.5</v>
      </c>
      <c r="H37" s="426">
        <v>1.5</v>
      </c>
      <c r="I37" s="426">
        <v>5.5</v>
      </c>
      <c r="J37" s="426">
        <v>1.5</v>
      </c>
      <c r="K37" s="426">
        <v>5</v>
      </c>
      <c r="L37" s="426">
        <v>4</v>
      </c>
      <c r="M37" s="426">
        <v>2</v>
      </c>
      <c r="N37" s="426">
        <v>3</v>
      </c>
      <c r="O37" s="426">
        <v>5.5</v>
      </c>
      <c r="P37" s="426">
        <v>27</v>
      </c>
      <c r="Q37" s="423">
        <v>265</v>
      </c>
      <c r="R37" s="15"/>
      <c r="S37" s="424">
        <f t="shared" si="15"/>
        <v>148.11133562033859</v>
      </c>
      <c r="T37" s="424">
        <f t="shared" si="16"/>
        <v>2.0365308647796558</v>
      </c>
      <c r="U37" s="425">
        <f t="shared" si="17"/>
        <v>0.44433400686101576</v>
      </c>
      <c r="V37" s="425">
        <f t="shared" si="18"/>
        <v>0.22216700343050788</v>
      </c>
      <c r="W37" s="425">
        <f t="shared" si="19"/>
        <v>0.18513916952542325</v>
      </c>
      <c r="X37" s="425">
        <f t="shared" si="20"/>
        <v>0.11108350171525394</v>
      </c>
      <c r="Y37" s="425">
        <f t="shared" si="21"/>
        <v>0.40730617295593113</v>
      </c>
      <c r="Z37" s="425">
        <f t="shared" si="22"/>
        <v>0.11108350171525394</v>
      </c>
      <c r="AA37" s="425">
        <f t="shared" si="23"/>
        <v>0.37027833905084651</v>
      </c>
      <c r="AB37" s="425">
        <f t="shared" si="24"/>
        <v>0.29622267124067719</v>
      </c>
      <c r="AC37" s="425">
        <f t="shared" si="25"/>
        <v>0.1481113356203386</v>
      </c>
      <c r="AD37" s="425">
        <f t="shared" si="26"/>
        <v>0.22216700343050788</v>
      </c>
      <c r="AE37" s="425">
        <f t="shared" si="27"/>
        <v>0.40730617295593113</v>
      </c>
      <c r="AF37" s="425">
        <f t="shared" si="28"/>
        <v>1.9995030308745712</v>
      </c>
      <c r="AG37" s="441">
        <f t="shared" si="29"/>
        <v>19.624751969694863</v>
      </c>
    </row>
    <row r="38" spans="1:33" x14ac:dyDescent="0.15">
      <c r="A38" s="435" t="s">
        <v>775</v>
      </c>
      <c r="B38" s="422">
        <v>3.2846327320850223E-2</v>
      </c>
      <c r="C38" s="423">
        <v>2000</v>
      </c>
      <c r="D38" s="426">
        <v>27.5</v>
      </c>
      <c r="E38" s="426">
        <v>6</v>
      </c>
      <c r="F38" s="426">
        <v>3</v>
      </c>
      <c r="G38" s="426">
        <v>2.5</v>
      </c>
      <c r="H38" s="426">
        <v>1.5</v>
      </c>
      <c r="I38" s="426">
        <v>5.5</v>
      </c>
      <c r="J38" s="426">
        <v>1.5</v>
      </c>
      <c r="K38" s="426">
        <v>5</v>
      </c>
      <c r="L38" s="426">
        <v>4</v>
      </c>
      <c r="M38" s="426">
        <v>2</v>
      </c>
      <c r="N38" s="426">
        <v>3</v>
      </c>
      <c r="O38" s="426">
        <v>5.5</v>
      </c>
      <c r="P38" s="426">
        <v>27</v>
      </c>
      <c r="Q38" s="423">
        <v>265</v>
      </c>
      <c r="R38" s="15"/>
      <c r="S38" s="424">
        <f t="shared" si="15"/>
        <v>65.692654641700443</v>
      </c>
      <c r="T38" s="424">
        <f t="shared" si="16"/>
        <v>0.90327400132338109</v>
      </c>
      <c r="U38" s="425">
        <f t="shared" si="17"/>
        <v>0.19707796392510135</v>
      </c>
      <c r="V38" s="425">
        <f t="shared" si="18"/>
        <v>9.8538981962550676E-2</v>
      </c>
      <c r="W38" s="425">
        <f t="shared" si="19"/>
        <v>8.2115818302125554E-2</v>
      </c>
      <c r="X38" s="425">
        <f t="shared" si="20"/>
        <v>4.9269490981275338E-2</v>
      </c>
      <c r="Y38" s="425">
        <f t="shared" si="21"/>
        <v>0.18065480026467623</v>
      </c>
      <c r="Z38" s="425">
        <f t="shared" si="22"/>
        <v>4.9269490981275338E-2</v>
      </c>
      <c r="AA38" s="425">
        <f t="shared" si="23"/>
        <v>0.16423163660425111</v>
      </c>
      <c r="AB38" s="425">
        <f t="shared" si="24"/>
        <v>0.13138530928340089</v>
      </c>
      <c r="AC38" s="425">
        <f t="shared" si="25"/>
        <v>6.5692654641700446E-2</v>
      </c>
      <c r="AD38" s="425">
        <f t="shared" si="26"/>
        <v>9.8538981962550676E-2</v>
      </c>
      <c r="AE38" s="425">
        <f t="shared" si="27"/>
        <v>0.18065480026467623</v>
      </c>
      <c r="AF38" s="425">
        <f t="shared" si="28"/>
        <v>0.88685083766295603</v>
      </c>
      <c r="AG38" s="441">
        <f t="shared" si="29"/>
        <v>8.7042767400253087</v>
      </c>
    </row>
    <row r="39" spans="1:33" x14ac:dyDescent="0.15">
      <c r="A39" s="435" t="s">
        <v>776</v>
      </c>
      <c r="B39" s="422">
        <v>2.8309474710530066E-2</v>
      </c>
      <c r="C39" s="423">
        <v>1800</v>
      </c>
      <c r="D39" s="426">
        <v>27.5</v>
      </c>
      <c r="E39" s="426">
        <v>6</v>
      </c>
      <c r="F39" s="426">
        <v>3</v>
      </c>
      <c r="G39" s="426">
        <v>2.5</v>
      </c>
      <c r="H39" s="426">
        <v>1.5</v>
      </c>
      <c r="I39" s="426">
        <v>5.5</v>
      </c>
      <c r="J39" s="426">
        <v>1.5</v>
      </c>
      <c r="K39" s="426">
        <v>5</v>
      </c>
      <c r="L39" s="426">
        <v>4</v>
      </c>
      <c r="M39" s="426">
        <v>1.5</v>
      </c>
      <c r="N39" s="426">
        <v>3</v>
      </c>
      <c r="O39" s="426">
        <v>5</v>
      </c>
      <c r="P39" s="426">
        <v>24</v>
      </c>
      <c r="Q39" s="423">
        <v>195</v>
      </c>
      <c r="R39" s="15"/>
      <c r="S39" s="424">
        <f t="shared" si="15"/>
        <v>50.95705447895412</v>
      </c>
      <c r="T39" s="424">
        <f t="shared" si="16"/>
        <v>0.77851055453957685</v>
      </c>
      <c r="U39" s="425">
        <f t="shared" si="17"/>
        <v>0.1698568482631804</v>
      </c>
      <c r="V39" s="425">
        <f t="shared" si="18"/>
        <v>8.4928424131590199E-2</v>
      </c>
      <c r="W39" s="425">
        <f t="shared" si="19"/>
        <v>7.0773686776325173E-2</v>
      </c>
      <c r="X39" s="425">
        <f t="shared" si="20"/>
        <v>4.24642120657951E-2</v>
      </c>
      <c r="Y39" s="425">
        <f t="shared" si="21"/>
        <v>0.15570211090791536</v>
      </c>
      <c r="Z39" s="425">
        <f t="shared" si="22"/>
        <v>4.24642120657951E-2</v>
      </c>
      <c r="AA39" s="425">
        <f t="shared" si="23"/>
        <v>0.14154737355265035</v>
      </c>
      <c r="AB39" s="425">
        <f t="shared" si="24"/>
        <v>0.11323789884212027</v>
      </c>
      <c r="AC39" s="425">
        <f t="shared" si="25"/>
        <v>4.24642120657951E-2</v>
      </c>
      <c r="AD39" s="425">
        <f t="shared" si="26"/>
        <v>8.4928424131590199E-2</v>
      </c>
      <c r="AE39" s="425">
        <f t="shared" si="27"/>
        <v>0.14154737355265035</v>
      </c>
      <c r="AF39" s="425">
        <f t="shared" si="28"/>
        <v>0.6794273930527216</v>
      </c>
      <c r="AG39" s="441">
        <f t="shared" si="29"/>
        <v>5.5203475685533627</v>
      </c>
    </row>
    <row r="40" spans="1:33" x14ac:dyDescent="0.15">
      <c r="A40" s="435" t="s">
        <v>777</v>
      </c>
      <c r="B40" s="422">
        <v>3.7626163199806308E-2</v>
      </c>
      <c r="C40" s="423">
        <v>1800</v>
      </c>
      <c r="D40" s="426">
        <v>27.5</v>
      </c>
      <c r="E40" s="426">
        <v>6</v>
      </c>
      <c r="F40" s="426">
        <v>3</v>
      </c>
      <c r="G40" s="426">
        <v>2.5</v>
      </c>
      <c r="H40" s="426">
        <v>1.5</v>
      </c>
      <c r="I40" s="426">
        <v>5.5</v>
      </c>
      <c r="J40" s="426">
        <v>1.5</v>
      </c>
      <c r="K40" s="426">
        <v>5</v>
      </c>
      <c r="L40" s="426">
        <v>4</v>
      </c>
      <c r="M40" s="426">
        <v>1.5</v>
      </c>
      <c r="N40" s="426">
        <v>3</v>
      </c>
      <c r="O40" s="426">
        <v>5</v>
      </c>
      <c r="P40" s="426">
        <v>24</v>
      </c>
      <c r="Q40" s="423">
        <v>195</v>
      </c>
      <c r="R40" s="15"/>
      <c r="S40" s="424">
        <f t="shared" si="15"/>
        <v>67.727093759651353</v>
      </c>
      <c r="T40" s="424">
        <f t="shared" si="16"/>
        <v>1.0347194879946735</v>
      </c>
      <c r="U40" s="425">
        <f t="shared" si="17"/>
        <v>0.22575697919883786</v>
      </c>
      <c r="V40" s="425">
        <f t="shared" si="18"/>
        <v>0.11287848959941893</v>
      </c>
      <c r="W40" s="425">
        <f t="shared" si="19"/>
        <v>9.4065407999515765E-2</v>
      </c>
      <c r="X40" s="425">
        <f t="shared" si="20"/>
        <v>5.6439244799709465E-2</v>
      </c>
      <c r="Y40" s="425">
        <f t="shared" si="21"/>
        <v>0.2069438975989347</v>
      </c>
      <c r="Z40" s="425">
        <f t="shared" si="22"/>
        <v>5.6439244799709465E-2</v>
      </c>
      <c r="AA40" s="425">
        <f t="shared" si="23"/>
        <v>0.18813081599903153</v>
      </c>
      <c r="AB40" s="425">
        <f t="shared" si="24"/>
        <v>0.15050465279922523</v>
      </c>
      <c r="AC40" s="425">
        <f t="shared" si="25"/>
        <v>5.6439244799709465E-2</v>
      </c>
      <c r="AD40" s="425">
        <f t="shared" si="26"/>
        <v>0.11287848959941893</v>
      </c>
      <c r="AE40" s="425">
        <f t="shared" si="27"/>
        <v>0.18813081599903153</v>
      </c>
      <c r="AF40" s="425">
        <f t="shared" si="28"/>
        <v>0.90302791679535144</v>
      </c>
      <c r="AG40" s="441">
        <f t="shared" si="29"/>
        <v>7.3371018239622297</v>
      </c>
    </row>
    <row r="41" spans="1:33" x14ac:dyDescent="0.15">
      <c r="A41" s="435" t="s">
        <v>778</v>
      </c>
      <c r="B41" s="422">
        <v>2.4565083755153736E-2</v>
      </c>
      <c r="C41" s="423">
        <v>1800</v>
      </c>
      <c r="D41" s="426">
        <v>27.5</v>
      </c>
      <c r="E41" s="426">
        <v>6</v>
      </c>
      <c r="F41" s="426">
        <v>3</v>
      </c>
      <c r="G41" s="426">
        <v>2.5</v>
      </c>
      <c r="H41" s="426">
        <v>1.5</v>
      </c>
      <c r="I41" s="426">
        <v>5.5</v>
      </c>
      <c r="J41" s="426">
        <v>1.5</v>
      </c>
      <c r="K41" s="426">
        <v>5</v>
      </c>
      <c r="L41" s="426">
        <v>4</v>
      </c>
      <c r="M41" s="426">
        <v>1.5</v>
      </c>
      <c r="N41" s="426">
        <v>3</v>
      </c>
      <c r="O41" s="426">
        <v>5</v>
      </c>
      <c r="P41" s="426">
        <v>24</v>
      </c>
      <c r="Q41" s="423">
        <v>195</v>
      </c>
      <c r="R41" s="15"/>
      <c r="S41" s="424">
        <f t="shared" si="15"/>
        <v>44.217150759276727</v>
      </c>
      <c r="T41" s="424">
        <f t="shared" si="16"/>
        <v>0.67553980326672769</v>
      </c>
      <c r="U41" s="425">
        <f t="shared" si="17"/>
        <v>0.14739050253092242</v>
      </c>
      <c r="V41" s="425">
        <f t="shared" si="18"/>
        <v>7.3695251265461212E-2</v>
      </c>
      <c r="W41" s="425">
        <f t="shared" si="19"/>
        <v>6.1412709387884339E-2</v>
      </c>
      <c r="X41" s="425">
        <f t="shared" si="20"/>
        <v>3.6847625632730606E-2</v>
      </c>
      <c r="Y41" s="425">
        <f t="shared" si="21"/>
        <v>0.13510796065334554</v>
      </c>
      <c r="Z41" s="425">
        <f t="shared" si="22"/>
        <v>3.6847625632730606E-2</v>
      </c>
      <c r="AA41" s="425">
        <f t="shared" si="23"/>
        <v>0.12282541877576868</v>
      </c>
      <c r="AB41" s="425">
        <f t="shared" si="24"/>
        <v>9.8260335020614945E-2</v>
      </c>
      <c r="AC41" s="425">
        <f t="shared" si="25"/>
        <v>3.6847625632730606E-2</v>
      </c>
      <c r="AD41" s="425">
        <f t="shared" si="26"/>
        <v>7.3695251265461212E-2</v>
      </c>
      <c r="AE41" s="425">
        <f t="shared" si="27"/>
        <v>0.12282541877576868</v>
      </c>
      <c r="AF41" s="425">
        <f t="shared" si="28"/>
        <v>0.58956201012368969</v>
      </c>
      <c r="AG41" s="441">
        <f t="shared" si="29"/>
        <v>4.7901913322549783</v>
      </c>
    </row>
    <row r="42" spans="1:33" x14ac:dyDescent="0.15">
      <c r="A42" s="435" t="s">
        <v>779</v>
      </c>
      <c r="B42" s="422">
        <v>1.1996137738515269E-2</v>
      </c>
      <c r="C42" s="423">
        <v>1600</v>
      </c>
      <c r="D42" s="426">
        <v>27.5</v>
      </c>
      <c r="E42" s="426">
        <v>5</v>
      </c>
      <c r="F42" s="426">
        <v>3</v>
      </c>
      <c r="G42" s="426">
        <v>2</v>
      </c>
      <c r="H42" s="426">
        <v>1.5</v>
      </c>
      <c r="I42" s="426">
        <v>4</v>
      </c>
      <c r="J42" s="426">
        <v>1</v>
      </c>
      <c r="K42" s="426">
        <v>4</v>
      </c>
      <c r="L42" s="426">
        <v>3.5</v>
      </c>
      <c r="M42" s="426">
        <v>1.5</v>
      </c>
      <c r="N42" s="426">
        <v>3</v>
      </c>
      <c r="O42" s="426">
        <v>5</v>
      </c>
      <c r="P42" s="426">
        <v>22</v>
      </c>
      <c r="Q42" s="423">
        <v>130</v>
      </c>
      <c r="R42" s="15"/>
      <c r="S42" s="424">
        <f t="shared" si="15"/>
        <v>19.19382038162443</v>
      </c>
      <c r="T42" s="424">
        <f t="shared" si="16"/>
        <v>0.32989378780916989</v>
      </c>
      <c r="U42" s="425">
        <f t="shared" si="17"/>
        <v>5.9980688692576341E-2</v>
      </c>
      <c r="V42" s="425">
        <f t="shared" si="18"/>
        <v>3.5988413215545807E-2</v>
      </c>
      <c r="W42" s="425">
        <f t="shared" si="19"/>
        <v>2.3992275477030537E-2</v>
      </c>
      <c r="X42" s="425">
        <f t="shared" si="20"/>
        <v>1.7994206607772904E-2</v>
      </c>
      <c r="Y42" s="425">
        <f t="shared" si="21"/>
        <v>4.7984550954061074E-2</v>
      </c>
      <c r="Z42" s="425">
        <f t="shared" si="22"/>
        <v>1.1996137738515269E-2</v>
      </c>
      <c r="AA42" s="425">
        <f t="shared" si="23"/>
        <v>4.7984550954061074E-2</v>
      </c>
      <c r="AB42" s="425">
        <f t="shared" si="24"/>
        <v>4.1986482084803441E-2</v>
      </c>
      <c r="AC42" s="425">
        <f t="shared" si="25"/>
        <v>1.7994206607772904E-2</v>
      </c>
      <c r="AD42" s="425">
        <f t="shared" si="26"/>
        <v>3.5988413215545807E-2</v>
      </c>
      <c r="AE42" s="425">
        <f t="shared" si="27"/>
        <v>5.9980688692576341E-2</v>
      </c>
      <c r="AF42" s="425">
        <f t="shared" si="28"/>
        <v>0.26391503024733592</v>
      </c>
      <c r="AG42" s="441">
        <f t="shared" si="29"/>
        <v>1.5594979060069849</v>
      </c>
    </row>
    <row r="43" spans="1:33" x14ac:dyDescent="0.15">
      <c r="A43" s="43"/>
      <c r="B43" s="15"/>
      <c r="C43" s="15"/>
      <c r="D43" s="15"/>
      <c r="E43" s="15"/>
      <c r="F43" s="15"/>
      <c r="G43" s="15"/>
      <c r="H43" s="15"/>
      <c r="I43" s="15"/>
      <c r="J43" s="15"/>
      <c r="K43" s="15"/>
      <c r="L43" s="15"/>
      <c r="M43" s="15"/>
      <c r="N43" s="15"/>
      <c r="O43" s="15"/>
      <c r="P43" s="15"/>
      <c r="Q43" s="15"/>
      <c r="R43" s="15"/>
      <c r="S43" s="427"/>
      <c r="T43" s="427"/>
      <c r="U43" s="18"/>
      <c r="V43" s="18"/>
      <c r="W43" s="18"/>
      <c r="X43" s="18"/>
      <c r="Y43" s="18"/>
      <c r="Z43" s="18"/>
      <c r="AA43" s="18"/>
      <c r="AB43" s="18"/>
      <c r="AC43" s="18"/>
      <c r="AD43" s="18"/>
      <c r="AE43" s="18"/>
      <c r="AF43" s="18"/>
      <c r="AG43" s="442"/>
    </row>
    <row r="44" spans="1:33" x14ac:dyDescent="0.15">
      <c r="A44" s="436" t="s">
        <v>782</v>
      </c>
      <c r="B44" s="437"/>
      <c r="C44" s="89"/>
      <c r="D44" s="89"/>
      <c r="E44" s="89"/>
      <c r="F44" s="89"/>
      <c r="G44" s="89"/>
      <c r="H44" s="89"/>
      <c r="I44" s="89"/>
      <c r="J44" s="89"/>
      <c r="K44" s="89"/>
      <c r="L44" s="89"/>
      <c r="M44" s="89"/>
      <c r="N44" s="89"/>
      <c r="O44" s="89"/>
      <c r="P44" s="89"/>
      <c r="Q44" s="89"/>
      <c r="R44" s="89"/>
      <c r="S44" s="700">
        <f t="shared" ref="S44:AG44" si="30">SUM(S10:S24,S28:S42)/SUM($B10:$B24,$B28:$B42)</f>
        <v>2151.9586648040813</v>
      </c>
      <c r="T44" s="438">
        <f t="shared" si="30"/>
        <v>28.259550520229968</v>
      </c>
      <c r="U44" s="438">
        <f t="shared" si="30"/>
        <v>7.0133504095614141</v>
      </c>
      <c r="V44" s="438">
        <f t="shared" si="30"/>
        <v>3.5466738935938089</v>
      </c>
      <c r="W44" s="438">
        <f t="shared" si="30"/>
        <v>2.7879077363769396</v>
      </c>
      <c r="X44" s="438">
        <f t="shared" si="30"/>
        <v>1.8480631070022422</v>
      </c>
      <c r="Y44" s="438">
        <f t="shared" si="30"/>
        <v>5.7528498778353958</v>
      </c>
      <c r="Z44" s="438">
        <f t="shared" si="30"/>
        <v>1.7946266303143406</v>
      </c>
      <c r="AA44" s="438">
        <f t="shared" si="30"/>
        <v>5.5892532606286798</v>
      </c>
      <c r="AB44" s="438">
        <f t="shared" si="30"/>
        <v>4.5305612788579204</v>
      </c>
      <c r="AC44" s="438">
        <f t="shared" si="30"/>
        <v>1.9204866867088273</v>
      </c>
      <c r="AD44" s="438">
        <f t="shared" si="30"/>
        <v>2.8920077995964051</v>
      </c>
      <c r="AE44" s="438">
        <f t="shared" si="30"/>
        <v>5.7977613055220143</v>
      </c>
      <c r="AF44" s="438">
        <f t="shared" si="30"/>
        <v>28.026471731594992</v>
      </c>
      <c r="AG44" s="700">
        <f t="shared" si="30"/>
        <v>292.93923673851901</v>
      </c>
    </row>
    <row r="46" spans="1:33" x14ac:dyDescent="0.15">
      <c r="A46" s="11" t="s">
        <v>53</v>
      </c>
    </row>
    <row r="47" spans="1:33" ht="39" x14ac:dyDescent="0.15">
      <c r="A47" s="373" t="s">
        <v>382</v>
      </c>
    </row>
    <row r="48" spans="1:33" x14ac:dyDescent="0.15">
      <c r="A48" t="s">
        <v>621</v>
      </c>
    </row>
  </sheetData>
  <mergeCells count="1">
    <mergeCell ref="A2:M3"/>
  </mergeCells>
  <phoneticPr fontId="4" type="noConversion"/>
  <hyperlinks>
    <hyperlink ref="A47" r:id="rId1"/>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8"/>
  <sheetViews>
    <sheetView topLeftCell="A195" workbookViewId="0">
      <selection activeCell="I184" sqref="I184"/>
    </sheetView>
  </sheetViews>
  <sheetFormatPr baseColWidth="10" defaultColWidth="8.83203125" defaultRowHeight="13" x14ac:dyDescent="0.15"/>
  <cols>
    <col min="1" max="1" width="30.1640625" customWidth="1"/>
    <col min="2" max="2" width="27.5" bestFit="1" customWidth="1"/>
    <col min="3" max="3" width="18.33203125" style="189" bestFit="1" customWidth="1"/>
    <col min="4" max="5" width="16.5" style="189" customWidth="1"/>
    <col min="6" max="6" width="14.83203125" style="189" customWidth="1"/>
    <col min="7" max="7" width="12.5" style="189" bestFit="1" customWidth="1"/>
    <col min="9" max="9" width="12.6640625" style="189" customWidth="1"/>
    <col min="10" max="10" width="71.6640625" style="189" customWidth="1"/>
    <col min="12" max="12" width="20.5" bestFit="1" customWidth="1"/>
  </cols>
  <sheetData>
    <row r="1" spans="1:13" ht="14" thickBot="1" x14ac:dyDescent="0.2">
      <c r="A1" s="1" t="s">
        <v>28</v>
      </c>
    </row>
    <row r="2" spans="1:13" ht="12.75" customHeight="1" x14ac:dyDescent="0.15">
      <c r="A2" s="850" t="s">
        <v>66</v>
      </c>
      <c r="B2" s="851"/>
      <c r="C2" s="851"/>
      <c r="D2" s="851"/>
      <c r="E2" s="851"/>
      <c r="F2" s="851"/>
      <c r="G2" s="851"/>
      <c r="H2" s="851"/>
      <c r="I2" s="851"/>
      <c r="J2" s="852"/>
      <c r="K2" s="26"/>
      <c r="L2" s="26"/>
      <c r="M2" s="26"/>
    </row>
    <row r="3" spans="1:13" x14ac:dyDescent="0.15">
      <c r="A3" s="853"/>
      <c r="B3" s="854"/>
      <c r="C3" s="854"/>
      <c r="D3" s="854"/>
      <c r="E3" s="854"/>
      <c r="F3" s="854"/>
      <c r="G3" s="854"/>
      <c r="H3" s="854"/>
      <c r="I3" s="854"/>
      <c r="J3" s="855"/>
      <c r="K3" s="26"/>
      <c r="L3" s="26"/>
      <c r="M3" s="26"/>
    </row>
    <row r="4" spans="1:13" ht="14" thickBot="1" x14ac:dyDescent="0.2">
      <c r="A4" s="856"/>
      <c r="B4" s="857"/>
      <c r="C4" s="857"/>
      <c r="D4" s="857"/>
      <c r="E4" s="857"/>
      <c r="F4" s="857"/>
      <c r="G4" s="857"/>
      <c r="H4" s="857"/>
      <c r="I4" s="857"/>
      <c r="J4" s="858"/>
      <c r="K4" s="26"/>
      <c r="L4" s="26"/>
      <c r="M4" s="26"/>
    </row>
    <row r="6" spans="1:13" ht="91" x14ac:dyDescent="0.15">
      <c r="A6" s="29" t="s">
        <v>3</v>
      </c>
      <c r="B6" s="29" t="s">
        <v>27</v>
      </c>
      <c r="C6" s="265" t="s">
        <v>59</v>
      </c>
      <c r="D6" s="265" t="s">
        <v>594</v>
      </c>
      <c r="E6" s="30" t="s">
        <v>593</v>
      </c>
      <c r="F6" s="30" t="s">
        <v>65</v>
      </c>
      <c r="G6" s="37"/>
      <c r="H6" s="35" t="s">
        <v>793</v>
      </c>
      <c r="I6" s="36" t="s">
        <v>794</v>
      </c>
      <c r="J6" s="748" t="s">
        <v>2</v>
      </c>
    </row>
    <row r="7" spans="1:13" x14ac:dyDescent="0.15">
      <c r="A7" s="2" t="s">
        <v>4</v>
      </c>
      <c r="B7" s="12" t="s">
        <v>60</v>
      </c>
      <c r="C7" s="266" t="s">
        <v>63</v>
      </c>
      <c r="D7" s="266" t="s">
        <v>64</v>
      </c>
      <c r="E7" s="238">
        <v>4.8569106254268446</v>
      </c>
      <c r="F7" s="239">
        <f>E7/(SUM(E$7:E$15))</f>
        <v>0.63402848536804335</v>
      </c>
      <c r="G7" s="38"/>
      <c r="H7" s="226">
        <v>1</v>
      </c>
      <c r="I7" s="227">
        <f>H7*(F7/SUMPRODUCT(H$7:H$15,F$7:F$15))</f>
        <v>0.63402848536804346</v>
      </c>
      <c r="J7" s="100"/>
      <c r="K7" s="92"/>
    </row>
    <row r="8" spans="1:13" x14ac:dyDescent="0.15">
      <c r="A8" s="2" t="s">
        <v>4</v>
      </c>
      <c r="B8" s="12" t="s">
        <v>61</v>
      </c>
      <c r="C8" s="266" t="s">
        <v>63</v>
      </c>
      <c r="D8" s="266" t="s">
        <v>64</v>
      </c>
      <c r="E8" s="238">
        <v>0.3693019823976495</v>
      </c>
      <c r="F8" s="239">
        <f t="shared" ref="F8:F15" si="0">E8/(SUM(E$7:E$15))</f>
        <v>4.8209241347203023E-2</v>
      </c>
      <c r="G8" s="38"/>
      <c r="H8" s="226">
        <v>1</v>
      </c>
      <c r="I8" s="227">
        <f t="shared" ref="I8:I15" si="1">H8*(F8/SUMPRODUCT(H$7:H$15,F$7:F$15))</f>
        <v>4.8209241347203037E-2</v>
      </c>
      <c r="J8" s="38"/>
      <c r="K8" s="185"/>
    </row>
    <row r="9" spans="1:13" x14ac:dyDescent="0.15">
      <c r="A9" s="2" t="s">
        <v>4</v>
      </c>
      <c r="B9" s="13" t="s">
        <v>62</v>
      </c>
      <c r="C9" s="266" t="s">
        <v>63</v>
      </c>
      <c r="D9" s="266" t="s">
        <v>64</v>
      </c>
      <c r="E9" s="238">
        <v>0.95380303025667035</v>
      </c>
      <c r="F9" s="239">
        <f t="shared" si="0"/>
        <v>0.12451089535128927</v>
      </c>
      <c r="G9" s="38"/>
      <c r="H9" s="226">
        <v>1</v>
      </c>
      <c r="I9" s="227">
        <f t="shared" si="1"/>
        <v>0.1245108953512893</v>
      </c>
      <c r="J9" s="38"/>
    </row>
    <row r="10" spans="1:13" x14ac:dyDescent="0.15">
      <c r="A10" s="2" t="s">
        <v>4</v>
      </c>
      <c r="B10" s="13" t="s">
        <v>54</v>
      </c>
      <c r="C10" s="266" t="s">
        <v>63</v>
      </c>
      <c r="D10" s="266" t="s">
        <v>64</v>
      </c>
      <c r="E10" s="238">
        <v>0.38931863495890418</v>
      </c>
      <c r="F10" s="239">
        <f t="shared" si="0"/>
        <v>5.0822245555909314E-2</v>
      </c>
      <c r="G10" s="38"/>
      <c r="H10" s="226">
        <v>1</v>
      </c>
      <c r="I10" s="227">
        <f t="shared" si="1"/>
        <v>5.0822245555909328E-2</v>
      </c>
      <c r="J10" s="38"/>
    </row>
    <row r="11" spans="1:13" x14ac:dyDescent="0.15">
      <c r="A11" s="2" t="s">
        <v>4</v>
      </c>
      <c r="B11" s="13" t="s">
        <v>55</v>
      </c>
      <c r="C11" s="266" t="s">
        <v>63</v>
      </c>
      <c r="D11" s="266" t="s">
        <v>64</v>
      </c>
      <c r="E11" s="238">
        <v>0.30795541461917814</v>
      </c>
      <c r="F11" s="239">
        <f t="shared" si="0"/>
        <v>4.0200967271191192E-2</v>
      </c>
      <c r="G11" s="38"/>
      <c r="H11" s="226">
        <v>1</v>
      </c>
      <c r="I11" s="227">
        <f t="shared" si="1"/>
        <v>4.0200967271191199E-2</v>
      </c>
      <c r="J11" s="38"/>
    </row>
    <row r="12" spans="1:13" x14ac:dyDescent="0.15">
      <c r="A12" s="2" t="s">
        <v>4</v>
      </c>
      <c r="B12" s="12" t="s">
        <v>56</v>
      </c>
      <c r="C12" s="266" t="s">
        <v>63</v>
      </c>
      <c r="D12" s="266" t="s">
        <v>64</v>
      </c>
      <c r="E12" s="238">
        <v>1.8977755842994364E-2</v>
      </c>
      <c r="F12" s="239">
        <f t="shared" si="0"/>
        <v>2.4773850541589476E-3</v>
      </c>
      <c r="G12" s="38"/>
      <c r="H12" s="226">
        <v>1</v>
      </c>
      <c r="I12" s="227">
        <f t="shared" si="1"/>
        <v>2.4773850541589481E-3</v>
      </c>
      <c r="J12" s="38"/>
    </row>
    <row r="13" spans="1:13" x14ac:dyDescent="0.15">
      <c r="A13" s="2" t="s">
        <v>4</v>
      </c>
      <c r="B13" s="12" t="s">
        <v>36</v>
      </c>
      <c r="C13" s="266" t="s">
        <v>63</v>
      </c>
      <c r="D13" s="266" t="s">
        <v>64</v>
      </c>
      <c r="E13" s="238">
        <v>0.63966472244551176</v>
      </c>
      <c r="F13" s="239">
        <f t="shared" si="0"/>
        <v>8.3502803817777679E-2</v>
      </c>
      <c r="G13" s="38"/>
      <c r="H13" s="226">
        <v>1</v>
      </c>
      <c r="I13" s="227">
        <f t="shared" si="1"/>
        <v>8.3502803817777693E-2</v>
      </c>
      <c r="J13" s="38"/>
    </row>
    <row r="14" spans="1:13" x14ac:dyDescent="0.15">
      <c r="A14" s="2" t="s">
        <v>4</v>
      </c>
      <c r="B14" s="13" t="s">
        <v>57</v>
      </c>
      <c r="C14" s="266" t="s">
        <v>63</v>
      </c>
      <c r="D14" s="266" t="s">
        <v>64</v>
      </c>
      <c r="E14" s="238">
        <v>0.10889101046643967</v>
      </c>
      <c r="F14" s="239">
        <f t="shared" si="0"/>
        <v>1.4214797792406361E-2</v>
      </c>
      <c r="G14" s="38"/>
      <c r="H14" s="226">
        <v>1</v>
      </c>
      <c r="I14" s="227">
        <f t="shared" si="1"/>
        <v>1.4214797792406364E-2</v>
      </c>
      <c r="J14" s="38"/>
    </row>
    <row r="15" spans="1:13" x14ac:dyDescent="0.15">
      <c r="A15" s="7" t="s">
        <v>4</v>
      </c>
      <c r="B15" s="31" t="s">
        <v>58</v>
      </c>
      <c r="C15" s="267" t="s">
        <v>63</v>
      </c>
      <c r="D15" s="267" t="s">
        <v>64</v>
      </c>
      <c r="E15" s="240">
        <v>1.5574956340813942E-2</v>
      </c>
      <c r="F15" s="445">
        <f t="shared" si="0"/>
        <v>2.0331784420208093E-3</v>
      </c>
      <c r="G15" s="39"/>
      <c r="H15" s="228">
        <v>1</v>
      </c>
      <c r="I15" s="229">
        <f t="shared" si="1"/>
        <v>2.0331784420208098E-3</v>
      </c>
      <c r="J15" s="39"/>
    </row>
    <row r="16" spans="1:13" x14ac:dyDescent="0.15">
      <c r="A16" s="49" t="s">
        <v>79</v>
      </c>
      <c r="B16" s="49" t="s">
        <v>80</v>
      </c>
      <c r="C16" s="197" t="s">
        <v>429</v>
      </c>
      <c r="D16" s="207" t="s">
        <v>788</v>
      </c>
      <c r="E16" s="241">
        <v>2.739585743951348E-2</v>
      </c>
      <c r="F16" s="242">
        <f>E16/(SUM(E$16:E$25))</f>
        <v>0.16724371450783065</v>
      </c>
      <c r="G16" s="38"/>
      <c r="H16" s="230">
        <v>1</v>
      </c>
      <c r="I16" s="227">
        <f>H16*(F16/SUMPRODUCT(H$16:H$25,F$16:F$25))</f>
        <v>0.16724371450783065</v>
      </c>
      <c r="J16" s="100"/>
    </row>
    <row r="17" spans="1:10" x14ac:dyDescent="0.15">
      <c r="A17" t="s">
        <v>79</v>
      </c>
      <c r="B17" t="s">
        <v>80</v>
      </c>
      <c r="C17" s="189" t="s">
        <v>432</v>
      </c>
      <c r="D17" s="207" t="s">
        <v>788</v>
      </c>
      <c r="E17" s="241">
        <v>1.0174351390377305E-2</v>
      </c>
      <c r="F17" s="242">
        <f t="shared" ref="F17:F25" si="2">E17/(SUM(E$16:E$25))</f>
        <v>6.2111445972863492E-2</v>
      </c>
      <c r="G17" s="38"/>
      <c r="H17" s="226">
        <v>1</v>
      </c>
      <c r="I17" s="227">
        <f t="shared" ref="I17:I25" si="3">H17*(F17/SUMPRODUCT(H$16:H$25,F$16:F$25))</f>
        <v>6.2111445972863492E-2</v>
      </c>
      <c r="J17" s="38"/>
    </row>
    <row r="18" spans="1:10" x14ac:dyDescent="0.15">
      <c r="A18" s="14" t="s">
        <v>79</v>
      </c>
      <c r="B18" s="14" t="s">
        <v>81</v>
      </c>
      <c r="C18" s="189" t="s">
        <v>429</v>
      </c>
      <c r="D18" s="207" t="s">
        <v>788</v>
      </c>
      <c r="E18" s="241">
        <v>3.5365215441292958E-3</v>
      </c>
      <c r="F18" s="242">
        <f t="shared" si="2"/>
        <v>2.158943193448214E-2</v>
      </c>
      <c r="G18" s="38"/>
      <c r="H18" s="226">
        <v>1</v>
      </c>
      <c r="I18" s="227">
        <f t="shared" si="3"/>
        <v>2.158943193448214E-2</v>
      </c>
      <c r="J18" s="38"/>
    </row>
    <row r="19" spans="1:10" x14ac:dyDescent="0.15">
      <c r="A19" s="14" t="s">
        <v>79</v>
      </c>
      <c r="B19" s="14" t="s">
        <v>82</v>
      </c>
      <c r="C19" s="189" t="s">
        <v>429</v>
      </c>
      <c r="D19" s="207" t="s">
        <v>788</v>
      </c>
      <c r="E19" s="241">
        <v>1.8209548140210748E-3</v>
      </c>
      <c r="F19" s="242">
        <f t="shared" si="2"/>
        <v>1.1116397715245552E-2</v>
      </c>
      <c r="G19" s="38"/>
      <c r="H19" s="226">
        <v>1</v>
      </c>
      <c r="I19" s="227">
        <f t="shared" si="3"/>
        <v>1.1116397715245552E-2</v>
      </c>
      <c r="J19" s="38"/>
    </row>
    <row r="20" spans="1:10" x14ac:dyDescent="0.15">
      <c r="A20" t="s">
        <v>79</v>
      </c>
      <c r="B20" t="s">
        <v>83</v>
      </c>
      <c r="C20" s="189" t="s">
        <v>429</v>
      </c>
      <c r="D20" s="207" t="s">
        <v>788</v>
      </c>
      <c r="E20" s="241">
        <v>1.3772259976034529E-3</v>
      </c>
      <c r="F20" s="242">
        <f t="shared" si="2"/>
        <v>8.4075627880783928E-3</v>
      </c>
      <c r="G20" s="38"/>
      <c r="H20" s="226">
        <v>1</v>
      </c>
      <c r="I20" s="227">
        <f t="shared" si="3"/>
        <v>8.4075627880783928E-3</v>
      </c>
      <c r="J20" s="38"/>
    </row>
    <row r="21" spans="1:10" x14ac:dyDescent="0.15">
      <c r="A21" t="s">
        <v>79</v>
      </c>
      <c r="B21" t="s">
        <v>84</v>
      </c>
      <c r="C21" s="189" t="s">
        <v>429</v>
      </c>
      <c r="D21" s="207" t="s">
        <v>788</v>
      </c>
      <c r="E21" s="241">
        <v>9.7870811801402183E-2</v>
      </c>
      <c r="F21" s="242">
        <f t="shared" si="2"/>
        <v>0.59747274359644986</v>
      </c>
      <c r="G21" s="38"/>
      <c r="H21" s="226">
        <v>1</v>
      </c>
      <c r="I21" s="227">
        <f t="shared" si="3"/>
        <v>0.59747274359644986</v>
      </c>
      <c r="J21" s="38"/>
    </row>
    <row r="22" spans="1:10" x14ac:dyDescent="0.15">
      <c r="A22" t="s">
        <v>79</v>
      </c>
      <c r="B22" t="s">
        <v>85</v>
      </c>
      <c r="C22" s="189" t="s">
        <v>429</v>
      </c>
      <c r="D22" s="207" t="s">
        <v>788</v>
      </c>
      <c r="E22" s="241">
        <v>2.0188356971047095E-3</v>
      </c>
      <c r="F22" s="242">
        <f t="shared" si="2"/>
        <v>1.2324402757251076E-2</v>
      </c>
      <c r="G22" s="38"/>
      <c r="H22" s="226">
        <v>1</v>
      </c>
      <c r="I22" s="227">
        <f t="shared" si="3"/>
        <v>1.2324402757251076E-2</v>
      </c>
      <c r="J22" s="38"/>
    </row>
    <row r="23" spans="1:10" x14ac:dyDescent="0.15">
      <c r="A23" t="s">
        <v>79</v>
      </c>
      <c r="B23" t="s">
        <v>86</v>
      </c>
      <c r="C23" s="189" t="s">
        <v>429</v>
      </c>
      <c r="D23" s="207" t="s">
        <v>788</v>
      </c>
      <c r="E23" s="241">
        <v>1.534419012122059E-2</v>
      </c>
      <c r="F23" s="242">
        <f t="shared" si="2"/>
        <v>9.3671802667727164E-2</v>
      </c>
      <c r="G23" s="38"/>
      <c r="H23" s="226">
        <v>1</v>
      </c>
      <c r="I23" s="227">
        <f t="shared" si="3"/>
        <v>9.3671802667727164E-2</v>
      </c>
      <c r="J23" s="38"/>
    </row>
    <row r="24" spans="1:10" x14ac:dyDescent="0.15">
      <c r="A24" t="s">
        <v>79</v>
      </c>
      <c r="B24" t="s">
        <v>86</v>
      </c>
      <c r="C24" s="189" t="s">
        <v>432</v>
      </c>
      <c r="D24" s="207" t="s">
        <v>788</v>
      </c>
      <c r="E24" s="241">
        <v>2.0534364371316751E-3</v>
      </c>
      <c r="F24" s="242">
        <f t="shared" si="2"/>
        <v>1.2535630177294633E-2</v>
      </c>
      <c r="G24" s="38"/>
      <c r="H24" s="226">
        <v>1</v>
      </c>
      <c r="I24" s="227">
        <f t="shared" si="3"/>
        <v>1.2535630177294633E-2</v>
      </c>
      <c r="J24" s="38"/>
    </row>
    <row r="25" spans="1:10" x14ac:dyDescent="0.15">
      <c r="A25" s="8" t="s">
        <v>79</v>
      </c>
      <c r="B25" s="8" t="s">
        <v>87</v>
      </c>
      <c r="C25" s="268" t="s">
        <v>429</v>
      </c>
      <c r="D25" s="448" t="s">
        <v>788</v>
      </c>
      <c r="E25" s="244">
        <v>2.2158090975810188E-3</v>
      </c>
      <c r="F25" s="246">
        <f t="shared" si="2"/>
        <v>1.3526867882777058E-2</v>
      </c>
      <c r="G25" s="39"/>
      <c r="H25" s="228">
        <v>1</v>
      </c>
      <c r="I25" s="229">
        <f t="shared" si="3"/>
        <v>1.3526867882777058E-2</v>
      </c>
      <c r="J25" s="39"/>
    </row>
    <row r="26" spans="1:10" x14ac:dyDescent="0.15">
      <c r="A26" s="15" t="s">
        <v>1224</v>
      </c>
      <c r="B26" t="s">
        <v>89</v>
      </c>
      <c r="C26" s="189" t="s">
        <v>429</v>
      </c>
      <c r="D26" s="207" t="s">
        <v>788</v>
      </c>
      <c r="E26" s="245">
        <v>5.2990587542809976E-2</v>
      </c>
      <c r="F26" s="243">
        <f>E26/(SUM(E$26:E$33))</f>
        <v>0.17530629117351998</v>
      </c>
      <c r="G26" s="38"/>
      <c r="H26" s="226">
        <v>1</v>
      </c>
      <c r="I26" s="227">
        <f>H26*(F26/SUMPRODUCT(H$26:H$33,F$26:F$33))</f>
        <v>0.17530629117351998</v>
      </c>
      <c r="J26" s="100"/>
    </row>
    <row r="27" spans="1:10" x14ac:dyDescent="0.15">
      <c r="A27" s="15" t="s">
        <v>1224</v>
      </c>
      <c r="B27" t="s">
        <v>89</v>
      </c>
      <c r="C27" s="189" t="s">
        <v>431</v>
      </c>
      <c r="D27" s="207" t="s">
        <v>788</v>
      </c>
      <c r="E27" s="245">
        <v>5.552574464264378E-3</v>
      </c>
      <c r="F27" s="243">
        <f t="shared" ref="F27:F33" si="4">E27/(SUM(E$26:E$33))</f>
        <v>1.8369323325743321E-2</v>
      </c>
      <c r="G27" s="38"/>
      <c r="H27" s="226">
        <v>1</v>
      </c>
      <c r="I27" s="227">
        <f t="shared" ref="I27:I33" si="5">H27*(F27/SUMPRODUCT(H$26:H$33,F$26:F$33))</f>
        <v>1.8369323325743321E-2</v>
      </c>
      <c r="J27" s="38"/>
    </row>
    <row r="28" spans="1:10" x14ac:dyDescent="0.15">
      <c r="A28" s="15" t="s">
        <v>1224</v>
      </c>
      <c r="B28" t="s">
        <v>89</v>
      </c>
      <c r="C28" s="189" t="s">
        <v>432</v>
      </c>
      <c r="D28" s="207" t="s">
        <v>788</v>
      </c>
      <c r="E28" s="245">
        <v>6.266366105708715E-3</v>
      </c>
      <c r="F28" s="243">
        <f t="shared" si="4"/>
        <v>2.0730726947304868E-2</v>
      </c>
      <c r="G28" s="38"/>
      <c r="H28" s="226">
        <v>1</v>
      </c>
      <c r="I28" s="227">
        <f t="shared" si="5"/>
        <v>2.0730726947304868E-2</v>
      </c>
      <c r="J28" s="38"/>
    </row>
    <row r="29" spans="1:10" x14ac:dyDescent="0.15">
      <c r="A29" s="15" t="s">
        <v>1224</v>
      </c>
      <c r="B29" t="s">
        <v>90</v>
      </c>
      <c r="C29" s="189" t="s">
        <v>429</v>
      </c>
      <c r="D29" s="207" t="s">
        <v>788</v>
      </c>
      <c r="E29" s="245">
        <v>2.1164595095940392E-2</v>
      </c>
      <c r="F29" s="243">
        <f t="shared" si="4"/>
        <v>7.0017843592715734E-2</v>
      </c>
      <c r="G29" s="38"/>
      <c r="H29" s="226">
        <v>1</v>
      </c>
      <c r="I29" s="227">
        <f t="shared" si="5"/>
        <v>7.0017843592715734E-2</v>
      </c>
      <c r="J29" s="38"/>
    </row>
    <row r="30" spans="1:10" x14ac:dyDescent="0.15">
      <c r="A30" s="15" t="s">
        <v>1224</v>
      </c>
      <c r="B30" t="s">
        <v>91</v>
      </c>
      <c r="C30" s="189" t="s">
        <v>429</v>
      </c>
      <c r="D30" s="207" t="s">
        <v>788</v>
      </c>
      <c r="E30" s="245">
        <v>1.2441137134663197E-2</v>
      </c>
      <c r="F30" s="243">
        <f t="shared" si="4"/>
        <v>4.1158434170916997E-2</v>
      </c>
      <c r="G30" s="38"/>
      <c r="H30" s="226">
        <v>1</v>
      </c>
      <c r="I30" s="227">
        <f t="shared" si="5"/>
        <v>4.1158434170916997E-2</v>
      </c>
      <c r="J30" s="38"/>
    </row>
    <row r="31" spans="1:10" x14ac:dyDescent="0.15">
      <c r="A31" s="15" t="s">
        <v>1224</v>
      </c>
      <c r="B31" s="313" t="s">
        <v>92</v>
      </c>
      <c r="C31" s="197" t="s">
        <v>429</v>
      </c>
      <c r="D31" s="207" t="s">
        <v>788</v>
      </c>
      <c r="E31" s="241">
        <v>1.2951653568676011E-2</v>
      </c>
      <c r="F31" s="243">
        <f t="shared" si="4"/>
        <v>4.2847351897251224E-2</v>
      </c>
      <c r="G31" s="479"/>
      <c r="H31" s="233">
        <v>1</v>
      </c>
      <c r="I31" s="227">
        <f t="shared" si="5"/>
        <v>4.2847351897251224E-2</v>
      </c>
      <c r="J31" s="38"/>
    </row>
    <row r="32" spans="1:10" s="308" customFormat="1" x14ac:dyDescent="0.15">
      <c r="A32" s="15" t="s">
        <v>1224</v>
      </c>
      <c r="B32" s="308" t="s">
        <v>121</v>
      </c>
      <c r="C32" s="316" t="s">
        <v>429</v>
      </c>
      <c r="D32" s="207" t="s">
        <v>788</v>
      </c>
      <c r="E32" s="245">
        <v>7.0899663427259063E-2</v>
      </c>
      <c r="F32" s="243">
        <f t="shared" si="4"/>
        <v>0.23455405228036752</v>
      </c>
      <c r="G32" s="479"/>
      <c r="H32" s="233">
        <v>1</v>
      </c>
      <c r="I32" s="227">
        <f t="shared" si="5"/>
        <v>0.23455405228036752</v>
      </c>
      <c r="J32" s="38"/>
    </row>
    <row r="33" spans="1:10" s="308" customFormat="1" x14ac:dyDescent="0.15">
      <c r="A33" s="25" t="s">
        <v>1224</v>
      </c>
      <c r="B33" s="8" t="s">
        <v>121</v>
      </c>
      <c r="C33" s="268" t="s">
        <v>431</v>
      </c>
      <c r="D33" s="448" t="s">
        <v>788</v>
      </c>
      <c r="E33" s="244">
        <v>0.12000772889398592</v>
      </c>
      <c r="F33" s="688">
        <f t="shared" si="4"/>
        <v>0.39701597661218041</v>
      </c>
      <c r="G33" s="689"/>
      <c r="H33" s="690">
        <v>1</v>
      </c>
      <c r="I33" s="229">
        <f t="shared" si="5"/>
        <v>0.39701597661218041</v>
      </c>
      <c r="J33" s="39"/>
    </row>
    <row r="34" spans="1:10" x14ac:dyDescent="0.15">
      <c r="A34" t="s">
        <v>93</v>
      </c>
      <c r="B34" t="s">
        <v>94</v>
      </c>
      <c r="C34" s="189" t="s">
        <v>517</v>
      </c>
      <c r="D34" s="207" t="s">
        <v>788</v>
      </c>
      <c r="E34" s="245">
        <v>9.2730543925977127E-2</v>
      </c>
      <c r="F34" s="243">
        <f>E34/SUM(E$34:E$35)</f>
        <v>0.8669464142747707</v>
      </c>
      <c r="G34" s="38"/>
      <c r="H34" s="226">
        <v>1</v>
      </c>
      <c r="I34" s="227">
        <f>H34*(F34/SUMPRODUCT(H$34:H$35,F$34:F$35))</f>
        <v>0.8669464142747707</v>
      </c>
      <c r="J34" s="100"/>
    </row>
    <row r="35" spans="1:10" x14ac:dyDescent="0.15">
      <c r="A35" s="8" t="s">
        <v>93</v>
      </c>
      <c r="B35" s="8" t="s">
        <v>95</v>
      </c>
      <c r="C35" s="268" t="s">
        <v>517</v>
      </c>
      <c r="D35" s="448" t="s">
        <v>788</v>
      </c>
      <c r="E35" s="244">
        <v>1.4231711640359459E-2</v>
      </c>
      <c r="F35" s="246">
        <f>E35/SUM(E$34:E$35)</f>
        <v>0.13305358572522941</v>
      </c>
      <c r="G35" s="39"/>
      <c r="H35" s="228">
        <v>1</v>
      </c>
      <c r="I35" s="229">
        <f>H35*(F35/SUMPRODUCT(H$34:H$35,F$34:F$35))</f>
        <v>0.13305358572522941</v>
      </c>
      <c r="J35" s="39"/>
    </row>
    <row r="36" spans="1:10" x14ac:dyDescent="0.15">
      <c r="A36" t="s">
        <v>97</v>
      </c>
      <c r="B36" t="s">
        <v>101</v>
      </c>
      <c r="C36" s="189" t="s">
        <v>431</v>
      </c>
      <c r="D36" s="207" t="s">
        <v>788</v>
      </c>
      <c r="E36" s="245">
        <v>4.5243683164027234E-3</v>
      </c>
      <c r="F36" s="243">
        <f>E36/SUM(E$36:E$46)</f>
        <v>9.7648122335054696E-3</v>
      </c>
      <c r="G36" s="40"/>
      <c r="H36" s="226">
        <v>1</v>
      </c>
      <c r="I36" s="227">
        <f>H36*(F36/SUMPRODUCT(H$36:H$46,F$36:F$46))</f>
        <v>9.7648122335054714E-3</v>
      </c>
      <c r="J36" s="100"/>
    </row>
    <row r="37" spans="1:10" x14ac:dyDescent="0.15">
      <c r="A37" t="s">
        <v>97</v>
      </c>
      <c r="B37" t="s">
        <v>101</v>
      </c>
      <c r="C37" s="189" t="s">
        <v>432</v>
      </c>
      <c r="D37" s="207" t="s">
        <v>788</v>
      </c>
      <c r="E37" s="245">
        <v>1.0167749441576951E-2</v>
      </c>
      <c r="F37" s="243">
        <f t="shared" ref="F37:F46" si="6">E37/SUM(E$36:E$46)</f>
        <v>2.1944757188395832E-2</v>
      </c>
      <c r="G37" s="38"/>
      <c r="H37" s="226">
        <v>1</v>
      </c>
      <c r="I37" s="227">
        <f t="shared" ref="I37:I46" si="7">H37*(F37/SUMPRODUCT(H$36:H$46,F$36:F$46))</f>
        <v>2.1944757188395836E-2</v>
      </c>
      <c r="J37" s="38"/>
    </row>
    <row r="38" spans="1:10" x14ac:dyDescent="0.15">
      <c r="A38" t="s">
        <v>97</v>
      </c>
      <c r="B38" t="s">
        <v>98</v>
      </c>
      <c r="C38" s="189" t="s">
        <v>429</v>
      </c>
      <c r="D38" s="207" t="s">
        <v>788</v>
      </c>
      <c r="E38" s="245">
        <v>4.3447856506793955E-5</v>
      </c>
      <c r="F38" s="243">
        <f t="shared" si="6"/>
        <v>9.3772242016418444E-5</v>
      </c>
      <c r="G38" s="38"/>
      <c r="H38" s="226">
        <v>1</v>
      </c>
      <c r="I38" s="227">
        <f t="shared" si="7"/>
        <v>9.3772242016418458E-5</v>
      </c>
      <c r="J38" s="38"/>
    </row>
    <row r="39" spans="1:10" x14ac:dyDescent="0.15">
      <c r="A39" t="s">
        <v>97</v>
      </c>
      <c r="B39" t="s">
        <v>98</v>
      </c>
      <c r="C39" s="189" t="s">
        <v>432</v>
      </c>
      <c r="D39" s="207" t="s">
        <v>788</v>
      </c>
      <c r="E39" s="245">
        <v>1.4689440331982226E-3</v>
      </c>
      <c r="F39" s="243">
        <f t="shared" si="6"/>
        <v>3.1703790811428894E-3</v>
      </c>
      <c r="G39" s="38"/>
      <c r="H39" s="226">
        <v>1</v>
      </c>
      <c r="I39" s="227">
        <f t="shared" si="7"/>
        <v>3.1703790811428898E-3</v>
      </c>
      <c r="J39" s="38"/>
    </row>
    <row r="40" spans="1:10" x14ac:dyDescent="0.15">
      <c r="A40" t="s">
        <v>97</v>
      </c>
      <c r="B40" t="s">
        <v>99</v>
      </c>
      <c r="C40" s="189" t="s">
        <v>429</v>
      </c>
      <c r="D40" s="207" t="s">
        <v>788</v>
      </c>
      <c r="E40" s="245">
        <v>0.19650593814353393</v>
      </c>
      <c r="F40" s="243">
        <f t="shared" si="6"/>
        <v>0.42411303734575284</v>
      </c>
      <c r="G40" s="38"/>
      <c r="H40" s="226">
        <v>1</v>
      </c>
      <c r="I40" s="227">
        <f t="shared" si="7"/>
        <v>0.4241130373457529</v>
      </c>
      <c r="J40" s="38"/>
    </row>
    <row r="41" spans="1:10" x14ac:dyDescent="0.15">
      <c r="A41" t="s">
        <v>97</v>
      </c>
      <c r="B41" t="s">
        <v>99</v>
      </c>
      <c r="C41" s="189" t="s">
        <v>431</v>
      </c>
      <c r="D41" s="207" t="s">
        <v>788</v>
      </c>
      <c r="E41" s="245">
        <v>3.5980819278358194E-3</v>
      </c>
      <c r="F41" s="243">
        <f t="shared" si="6"/>
        <v>7.7656353260870878E-3</v>
      </c>
      <c r="G41" s="38"/>
      <c r="H41" s="226">
        <v>1</v>
      </c>
      <c r="I41" s="227">
        <f t="shared" si="7"/>
        <v>7.7656353260870887E-3</v>
      </c>
      <c r="J41" s="38"/>
    </row>
    <row r="42" spans="1:10" x14ac:dyDescent="0.15">
      <c r="A42" t="s">
        <v>97</v>
      </c>
      <c r="B42" t="s">
        <v>99</v>
      </c>
      <c r="C42" s="189" t="s">
        <v>432</v>
      </c>
      <c r="D42" s="207" t="s">
        <v>788</v>
      </c>
      <c r="E42" s="245">
        <v>0.11642608611834142</v>
      </c>
      <c r="F42" s="243">
        <f t="shared" si="6"/>
        <v>0.25127902737402724</v>
      </c>
      <c r="G42" s="38"/>
      <c r="H42" s="226">
        <v>1</v>
      </c>
      <c r="I42" s="227">
        <f t="shared" si="7"/>
        <v>0.2512790273740273</v>
      </c>
      <c r="J42" s="38"/>
    </row>
    <row r="43" spans="1:10" x14ac:dyDescent="0.15">
      <c r="A43" t="s">
        <v>97</v>
      </c>
      <c r="B43" t="s">
        <v>99</v>
      </c>
      <c r="C43" s="189" t="s">
        <v>518</v>
      </c>
      <c r="D43" s="207" t="s">
        <v>788</v>
      </c>
      <c r="E43" s="245">
        <v>7.7406408749066083E-2</v>
      </c>
      <c r="F43" s="243">
        <f t="shared" si="6"/>
        <v>0.16706399529063554</v>
      </c>
      <c r="G43" s="38"/>
      <c r="H43" s="226">
        <v>1</v>
      </c>
      <c r="I43" s="227">
        <f t="shared" si="7"/>
        <v>0.16706399529063556</v>
      </c>
      <c r="J43" s="38"/>
    </row>
    <row r="44" spans="1:10" x14ac:dyDescent="0.15">
      <c r="A44" t="s">
        <v>97</v>
      </c>
      <c r="B44" t="s">
        <v>100</v>
      </c>
      <c r="C44" s="189" t="s">
        <v>429</v>
      </c>
      <c r="D44" s="207" t="s">
        <v>788</v>
      </c>
      <c r="E44" s="245">
        <v>2.6564313731540726E-3</v>
      </c>
      <c r="F44" s="243">
        <f t="shared" si="6"/>
        <v>5.7332983868711379E-3</v>
      </c>
      <c r="G44" s="38"/>
      <c r="H44" s="226">
        <v>1</v>
      </c>
      <c r="I44" s="227">
        <f t="shared" si="7"/>
        <v>5.7332983868711388E-3</v>
      </c>
      <c r="J44" s="38"/>
    </row>
    <row r="45" spans="1:10" x14ac:dyDescent="0.15">
      <c r="A45" t="s">
        <v>97</v>
      </c>
      <c r="B45" t="s">
        <v>100</v>
      </c>
      <c r="C45" s="189" t="s">
        <v>431</v>
      </c>
      <c r="D45" s="207" t="s">
        <v>788</v>
      </c>
      <c r="E45" s="245">
        <v>3.4360242473961113E-2</v>
      </c>
      <c r="F45" s="243">
        <f t="shared" si="6"/>
        <v>7.4158709590363123E-2</v>
      </c>
      <c r="G45" s="38"/>
      <c r="H45" s="226">
        <v>1</v>
      </c>
      <c r="I45" s="227">
        <f t="shared" si="7"/>
        <v>7.4158709590363137E-2</v>
      </c>
      <c r="J45" s="38"/>
    </row>
    <row r="46" spans="1:10" x14ac:dyDescent="0.15">
      <c r="A46" s="8" t="s">
        <v>97</v>
      </c>
      <c r="B46" s="8" t="s">
        <v>100</v>
      </c>
      <c r="C46" s="268" t="s">
        <v>432</v>
      </c>
      <c r="D46" s="448" t="s">
        <v>788</v>
      </c>
      <c r="E46" s="244">
        <v>1.6176179188616645E-2</v>
      </c>
      <c r="F46" s="246">
        <f t="shared" si="6"/>
        <v>3.4912575941202457E-2</v>
      </c>
      <c r="G46" s="39"/>
      <c r="H46" s="228">
        <v>1</v>
      </c>
      <c r="I46" s="229">
        <f t="shared" si="7"/>
        <v>3.4912575941202464E-2</v>
      </c>
      <c r="J46" s="39"/>
    </row>
    <row r="47" spans="1:10" x14ac:dyDescent="0.15">
      <c r="A47" t="s">
        <v>102</v>
      </c>
      <c r="B47" t="s">
        <v>103</v>
      </c>
      <c r="C47" s="189" t="s">
        <v>429</v>
      </c>
      <c r="D47" s="207" t="s">
        <v>788</v>
      </c>
      <c r="E47" s="245">
        <v>1.846091535798868E-3</v>
      </c>
      <c r="F47" s="243">
        <f>E47/SUM(E$47:E$73)</f>
        <v>3.4943708307536153E-3</v>
      </c>
      <c r="G47" s="38"/>
      <c r="H47" s="226">
        <v>1</v>
      </c>
      <c r="I47" s="227">
        <f>H47*(F47/SUMPRODUCT(H$47:H$73,F$47:F$73))</f>
        <v>3.6815701630581112E-3</v>
      </c>
      <c r="J47" s="100"/>
    </row>
    <row r="48" spans="1:10" x14ac:dyDescent="0.15">
      <c r="A48" t="s">
        <v>102</v>
      </c>
      <c r="B48" t="s">
        <v>104</v>
      </c>
      <c r="C48" s="189" t="s">
        <v>429</v>
      </c>
      <c r="D48" s="207" t="s">
        <v>788</v>
      </c>
      <c r="E48" s="245">
        <v>2.9113102764856155E-3</v>
      </c>
      <c r="F48" s="243">
        <f t="shared" ref="F48:F73" si="8">E48/SUM(E$47:E$73)</f>
        <v>5.5106680856007945E-3</v>
      </c>
      <c r="G48" s="38"/>
      <c r="H48" s="226">
        <v>1</v>
      </c>
      <c r="I48" s="227">
        <f t="shared" ref="I48:I73" si="9">H48*(F48/SUMPRODUCT(H$47:H$73,F$47:F$73))</f>
        <v>5.8058838586656364E-3</v>
      </c>
      <c r="J48" s="38"/>
    </row>
    <row r="49" spans="1:10" x14ac:dyDescent="0.15">
      <c r="A49" t="s">
        <v>102</v>
      </c>
      <c r="B49" t="s">
        <v>104</v>
      </c>
      <c r="C49" s="189" t="s">
        <v>431</v>
      </c>
      <c r="D49" s="207" t="s">
        <v>788</v>
      </c>
      <c r="E49" s="245">
        <v>6.2324870251478069E-4</v>
      </c>
      <c r="F49" s="243">
        <f t="shared" si="8"/>
        <v>1.1797151138717779E-3</v>
      </c>
      <c r="G49" s="38"/>
      <c r="H49" s="226">
        <v>1</v>
      </c>
      <c r="I49" s="227">
        <f t="shared" si="9"/>
        <v>1.2429144399658237E-3</v>
      </c>
      <c r="J49" s="38"/>
    </row>
    <row r="50" spans="1:10" x14ac:dyDescent="0.15">
      <c r="A50" t="s">
        <v>102</v>
      </c>
      <c r="B50" t="s">
        <v>104</v>
      </c>
      <c r="C50" s="189" t="s">
        <v>432</v>
      </c>
      <c r="D50" s="207" t="s">
        <v>788</v>
      </c>
      <c r="E50" s="245">
        <v>2.2585187937825793E-4</v>
      </c>
      <c r="F50" s="243">
        <f t="shared" si="8"/>
        <v>4.2750329767843814E-4</v>
      </c>
      <c r="G50" s="38"/>
      <c r="H50" s="226">
        <v>1</v>
      </c>
      <c r="I50" s="227">
        <f t="shared" si="9"/>
        <v>4.5040536954186268E-4</v>
      </c>
      <c r="J50" s="38"/>
    </row>
    <row r="51" spans="1:10" x14ac:dyDescent="0.15">
      <c r="A51" t="s">
        <v>102</v>
      </c>
      <c r="B51" t="s">
        <v>105</v>
      </c>
      <c r="C51" s="189" t="s">
        <v>429</v>
      </c>
      <c r="D51" s="207" t="s">
        <v>788</v>
      </c>
      <c r="E51" s="245">
        <v>3.4578337920842299E-2</v>
      </c>
      <c r="F51" s="243">
        <f t="shared" si="8"/>
        <v>6.5451540762438851E-2</v>
      </c>
      <c r="G51" s="38"/>
      <c r="H51" s="226">
        <v>1</v>
      </c>
      <c r="I51" s="227">
        <f t="shared" si="9"/>
        <v>6.8957890066066313E-2</v>
      </c>
      <c r="J51" s="38"/>
    </row>
    <row r="52" spans="1:10" x14ac:dyDescent="0.15">
      <c r="A52" t="s">
        <v>102</v>
      </c>
      <c r="B52" t="s">
        <v>106</v>
      </c>
      <c r="C52" s="189" t="s">
        <v>429</v>
      </c>
      <c r="D52" s="207" t="s">
        <v>788</v>
      </c>
      <c r="E52" s="245">
        <v>2.2345794773640528E-3</v>
      </c>
      <c r="F52" s="243">
        <f t="shared" si="8"/>
        <v>4.229719487513179E-3</v>
      </c>
      <c r="G52" s="38"/>
      <c r="H52" s="226">
        <v>1</v>
      </c>
      <c r="I52" s="227">
        <f t="shared" si="9"/>
        <v>4.45631268618838E-3</v>
      </c>
      <c r="J52" s="38"/>
    </row>
    <row r="53" spans="1:10" x14ac:dyDescent="0.15">
      <c r="A53" t="s">
        <v>102</v>
      </c>
      <c r="B53" t="s">
        <v>107</v>
      </c>
      <c r="C53" s="189" t="s">
        <v>429</v>
      </c>
      <c r="D53" s="207" t="s">
        <v>788</v>
      </c>
      <c r="E53" s="245">
        <v>5.5777576285313157E-2</v>
      </c>
      <c r="F53" s="243">
        <f t="shared" si="8"/>
        <v>0.10557847853258784</v>
      </c>
      <c r="G53" s="38"/>
      <c r="H53" s="226">
        <v>1</v>
      </c>
      <c r="I53" s="227">
        <f t="shared" si="9"/>
        <v>0.11123449549366193</v>
      </c>
      <c r="J53" s="38"/>
    </row>
    <row r="54" spans="1:10" x14ac:dyDescent="0.15">
      <c r="A54" t="s">
        <v>102</v>
      </c>
      <c r="B54" t="s">
        <v>107</v>
      </c>
      <c r="C54" s="189" t="s">
        <v>431</v>
      </c>
      <c r="D54" s="207" t="s">
        <v>788</v>
      </c>
      <c r="E54" s="245">
        <v>3.8805851952802956E-3</v>
      </c>
      <c r="F54" s="243">
        <f t="shared" si="8"/>
        <v>7.3453582607829982E-3</v>
      </c>
      <c r="G54" s="38"/>
      <c r="H54" s="226">
        <v>1</v>
      </c>
      <c r="I54" s="227">
        <f t="shared" si="9"/>
        <v>7.7388614774004921E-3</v>
      </c>
      <c r="J54" s="38"/>
    </row>
    <row r="55" spans="1:10" x14ac:dyDescent="0.15">
      <c r="A55" t="s">
        <v>102</v>
      </c>
      <c r="B55" t="s">
        <v>108</v>
      </c>
      <c r="C55" s="189" t="s">
        <v>429</v>
      </c>
      <c r="D55" s="207" t="s">
        <v>788</v>
      </c>
      <c r="E55" s="245">
        <v>3.1274386781196492E-3</v>
      </c>
      <c r="F55" s="243">
        <f t="shared" si="8"/>
        <v>5.919766317038464E-3</v>
      </c>
      <c r="G55" s="38"/>
      <c r="H55" s="226">
        <v>1</v>
      </c>
      <c r="I55" s="227">
        <f t="shared" si="9"/>
        <v>6.236898171561543E-3</v>
      </c>
      <c r="J55" s="38"/>
    </row>
    <row r="56" spans="1:10" x14ac:dyDescent="0.15">
      <c r="A56" t="s">
        <v>102</v>
      </c>
      <c r="B56" t="s">
        <v>108</v>
      </c>
      <c r="C56" s="189" t="s">
        <v>432</v>
      </c>
      <c r="D56" s="207" t="s">
        <v>788</v>
      </c>
      <c r="E56" s="245">
        <v>1.3661041413073002E-3</v>
      </c>
      <c r="F56" s="243">
        <f t="shared" si="8"/>
        <v>2.585827609620782E-3</v>
      </c>
      <c r="G56" s="38"/>
      <c r="H56" s="226">
        <v>1</v>
      </c>
      <c r="I56" s="227">
        <f t="shared" si="9"/>
        <v>2.7243547509634611E-3</v>
      </c>
      <c r="J56" s="38"/>
    </row>
    <row r="57" spans="1:10" x14ac:dyDescent="0.15">
      <c r="A57" t="s">
        <v>102</v>
      </c>
      <c r="B57" t="s">
        <v>109</v>
      </c>
      <c r="C57" s="189" t="s">
        <v>429</v>
      </c>
      <c r="D57" s="207" t="s">
        <v>788</v>
      </c>
      <c r="E57" s="245">
        <v>4.6710572013143381E-2</v>
      </c>
      <c r="F57" s="243">
        <f t="shared" si="8"/>
        <v>8.8416016847134127E-2</v>
      </c>
      <c r="G57" s="38"/>
      <c r="H57" s="226">
        <v>1</v>
      </c>
      <c r="I57" s="227">
        <f t="shared" si="9"/>
        <v>9.3152611822441028E-2</v>
      </c>
      <c r="J57" s="38"/>
    </row>
    <row r="58" spans="1:10" x14ac:dyDescent="0.15">
      <c r="A58" t="s">
        <v>102</v>
      </c>
      <c r="B58" t="s">
        <v>110</v>
      </c>
      <c r="C58" s="189" t="s">
        <v>431</v>
      </c>
      <c r="D58" s="207" t="s">
        <v>788</v>
      </c>
      <c r="E58" s="245">
        <v>3.5013037689824091E-2</v>
      </c>
      <c r="F58" s="243">
        <f t="shared" si="8"/>
        <v>6.6274361388290418E-2</v>
      </c>
      <c r="G58" s="38"/>
      <c r="H58" s="226">
        <v>1</v>
      </c>
      <c r="I58" s="227">
        <f t="shared" si="9"/>
        <v>6.9824790579035234E-2</v>
      </c>
      <c r="J58" s="38"/>
    </row>
    <row r="59" spans="1:10" x14ac:dyDescent="0.15">
      <c r="A59" t="s">
        <v>102</v>
      </c>
      <c r="B59" t="s">
        <v>111</v>
      </c>
      <c r="C59" s="189" t="s">
        <v>429</v>
      </c>
      <c r="D59" s="207" t="s">
        <v>788</v>
      </c>
      <c r="E59" s="245">
        <v>3.0931367026183459E-2</v>
      </c>
      <c r="F59" s="243">
        <f t="shared" si="8"/>
        <v>5.8548378883529879E-2</v>
      </c>
      <c r="G59" s="38"/>
      <c r="H59" s="226">
        <v>1</v>
      </c>
      <c r="I59" s="227">
        <f t="shared" si="9"/>
        <v>6.1684914175676793E-2</v>
      </c>
      <c r="J59" s="38"/>
    </row>
    <row r="60" spans="1:10" x14ac:dyDescent="0.15">
      <c r="A60" t="s">
        <v>102</v>
      </c>
      <c r="B60" t="s">
        <v>111</v>
      </c>
      <c r="C60" s="189" t="s">
        <v>431</v>
      </c>
      <c r="D60" s="207" t="s">
        <v>788</v>
      </c>
      <c r="E60" s="245">
        <v>8.5403286000126227E-3</v>
      </c>
      <c r="F60" s="243">
        <f t="shared" si="8"/>
        <v>1.616554464728686E-2</v>
      </c>
      <c r="G60" s="38"/>
      <c r="H60" s="226">
        <v>1</v>
      </c>
      <c r="I60" s="227">
        <f t="shared" si="9"/>
        <v>1.7031560107832005E-2</v>
      </c>
      <c r="J60" s="38"/>
    </row>
    <row r="61" spans="1:10" x14ac:dyDescent="0.15">
      <c r="A61" t="s">
        <v>102</v>
      </c>
      <c r="B61" t="s">
        <v>112</v>
      </c>
      <c r="C61" s="189" t="s">
        <v>429</v>
      </c>
      <c r="D61" s="207" t="s">
        <v>788</v>
      </c>
      <c r="E61" s="245">
        <v>5.365616789045082E-3</v>
      </c>
      <c r="F61" s="243">
        <f t="shared" si="8"/>
        <v>1.0156297471201756E-2</v>
      </c>
      <c r="G61" s="38"/>
      <c r="H61" s="226">
        <v>1</v>
      </c>
      <c r="I61" s="227">
        <f t="shared" si="9"/>
        <v>1.070038743685797E-2</v>
      </c>
      <c r="J61" s="38"/>
    </row>
    <row r="62" spans="1:10" x14ac:dyDescent="0.15">
      <c r="A62" t="s">
        <v>102</v>
      </c>
      <c r="B62" t="s">
        <v>113</v>
      </c>
      <c r="C62" s="189" t="s">
        <v>429</v>
      </c>
      <c r="D62" s="207" t="s">
        <v>788</v>
      </c>
      <c r="E62" s="245">
        <v>1.3118498093885473E-2</v>
      </c>
      <c r="F62" s="243">
        <f t="shared" si="8"/>
        <v>2.4831324012724726E-2</v>
      </c>
      <c r="G62" s="38"/>
      <c r="H62" s="226">
        <v>1</v>
      </c>
      <c r="I62" s="227">
        <f t="shared" si="9"/>
        <v>2.6161579872952406E-2</v>
      </c>
      <c r="J62" s="38"/>
    </row>
    <row r="63" spans="1:10" x14ac:dyDescent="0.15">
      <c r="A63" t="s">
        <v>102</v>
      </c>
      <c r="B63" t="s">
        <v>114</v>
      </c>
      <c r="C63" s="189" t="s">
        <v>429</v>
      </c>
      <c r="D63" s="207" t="s">
        <v>788</v>
      </c>
      <c r="E63" s="245">
        <v>0.11736882844954731</v>
      </c>
      <c r="F63" s="243">
        <f t="shared" si="8"/>
        <v>0.22216136232721831</v>
      </c>
      <c r="G63" s="38"/>
      <c r="H63" s="226">
        <v>1</v>
      </c>
      <c r="I63" s="227">
        <f t="shared" si="9"/>
        <v>0.23406292077816934</v>
      </c>
      <c r="J63" s="38"/>
    </row>
    <row r="64" spans="1:10" x14ac:dyDescent="0.15">
      <c r="A64" t="s">
        <v>102</v>
      </c>
      <c r="B64" t="s">
        <v>115</v>
      </c>
      <c r="C64" s="189" t="s">
        <v>429</v>
      </c>
      <c r="D64" s="207" t="s">
        <v>788</v>
      </c>
      <c r="E64" s="245">
        <v>2.0657163633225072E-2</v>
      </c>
      <c r="F64" s="243">
        <f t="shared" si="8"/>
        <v>3.910087265245471E-2</v>
      </c>
      <c r="G64" s="38"/>
      <c r="H64" s="226">
        <v>0</v>
      </c>
      <c r="I64" s="227">
        <f t="shared" si="9"/>
        <v>0</v>
      </c>
      <c r="J64" s="540" t="s">
        <v>1306</v>
      </c>
    </row>
    <row r="65" spans="1:10" x14ac:dyDescent="0.15">
      <c r="A65" t="s">
        <v>102</v>
      </c>
      <c r="B65" t="s">
        <v>115</v>
      </c>
      <c r="C65" s="189" t="s">
        <v>431</v>
      </c>
      <c r="D65" s="207" t="s">
        <v>788</v>
      </c>
      <c r="E65" s="245">
        <v>6.2058945914739072E-3</v>
      </c>
      <c r="F65" s="243">
        <f t="shared" si="8"/>
        <v>1.1746815701526896E-2</v>
      </c>
      <c r="G65" s="38"/>
      <c r="H65" s="226">
        <v>0</v>
      </c>
      <c r="I65" s="227">
        <f t="shared" si="9"/>
        <v>0</v>
      </c>
      <c r="J65" s="540" t="s">
        <v>1306</v>
      </c>
    </row>
    <row r="66" spans="1:10" x14ac:dyDescent="0.15">
      <c r="A66" t="s">
        <v>102</v>
      </c>
      <c r="B66" t="s">
        <v>116</v>
      </c>
      <c r="C66" s="189" t="s">
        <v>429</v>
      </c>
      <c r="D66" s="207" t="s">
        <v>788</v>
      </c>
      <c r="E66" s="245">
        <v>2.2847065141531481E-3</v>
      </c>
      <c r="F66" s="243">
        <f t="shared" si="8"/>
        <v>4.3246023531735367E-3</v>
      </c>
      <c r="G66" s="38"/>
      <c r="H66" s="226">
        <v>1</v>
      </c>
      <c r="I66" s="227">
        <f t="shared" si="9"/>
        <v>4.5562785868095484E-3</v>
      </c>
      <c r="J66" s="38"/>
    </row>
    <row r="67" spans="1:10" x14ac:dyDescent="0.15">
      <c r="A67" t="s">
        <v>102</v>
      </c>
      <c r="B67" t="s">
        <v>117</v>
      </c>
      <c r="C67" s="189" t="s">
        <v>429</v>
      </c>
      <c r="D67" s="207" t="s">
        <v>788</v>
      </c>
      <c r="E67" s="245">
        <v>7.3383258895082459E-2</v>
      </c>
      <c r="F67" s="243">
        <f t="shared" si="8"/>
        <v>0.13890336116927782</v>
      </c>
      <c r="G67" s="38"/>
      <c r="H67" s="226">
        <v>1</v>
      </c>
      <c r="I67" s="227">
        <f t="shared" si="9"/>
        <v>0.14634464823500437</v>
      </c>
      <c r="J67" s="38"/>
    </row>
    <row r="68" spans="1:10" x14ac:dyDescent="0.15">
      <c r="A68" t="s">
        <v>102</v>
      </c>
      <c r="B68" t="s">
        <v>117</v>
      </c>
      <c r="C68" s="189" t="s">
        <v>519</v>
      </c>
      <c r="D68" s="207" t="s">
        <v>788</v>
      </c>
      <c r="E68" s="245">
        <v>5.8411532153794278E-3</v>
      </c>
      <c r="F68" s="243">
        <f t="shared" si="8"/>
        <v>1.1056415685775811E-2</v>
      </c>
      <c r="G68" s="38"/>
      <c r="H68" s="226">
        <v>1</v>
      </c>
      <c r="I68" s="227">
        <f t="shared" si="9"/>
        <v>1.1648726500599038E-2</v>
      </c>
      <c r="J68" s="38"/>
    </row>
    <row r="69" spans="1:10" x14ac:dyDescent="0.15">
      <c r="A69" t="s">
        <v>102</v>
      </c>
      <c r="B69" t="s">
        <v>118</v>
      </c>
      <c r="C69" s="189" t="s">
        <v>429</v>
      </c>
      <c r="D69" s="207" t="s">
        <v>788</v>
      </c>
      <c r="E69" s="245">
        <v>3.0046712025519847E-3</v>
      </c>
      <c r="F69" s="243">
        <f t="shared" si="8"/>
        <v>5.6873861358448692E-3</v>
      </c>
      <c r="G69" s="38"/>
      <c r="H69" s="226">
        <v>1</v>
      </c>
      <c r="I69" s="227">
        <f t="shared" si="9"/>
        <v>5.9920689925748727E-3</v>
      </c>
      <c r="J69" s="38"/>
    </row>
    <row r="70" spans="1:10" x14ac:dyDescent="0.15">
      <c r="A70" t="s">
        <v>102</v>
      </c>
      <c r="B70" t="s">
        <v>119</v>
      </c>
      <c r="C70" s="189" t="s">
        <v>429</v>
      </c>
      <c r="D70" s="207" t="s">
        <v>788</v>
      </c>
      <c r="E70" s="245">
        <v>1.2229255289988061E-2</v>
      </c>
      <c r="F70" s="243">
        <f t="shared" si="8"/>
        <v>2.3148122473071919E-2</v>
      </c>
      <c r="G70" s="38"/>
      <c r="H70" s="226">
        <v>1</v>
      </c>
      <c r="I70" s="227">
        <f t="shared" si="9"/>
        <v>2.438820639116232E-2</v>
      </c>
      <c r="J70" s="38"/>
    </row>
    <row r="71" spans="1:10" x14ac:dyDescent="0.15">
      <c r="A71" t="s">
        <v>102</v>
      </c>
      <c r="B71" t="s">
        <v>119</v>
      </c>
      <c r="C71" s="189" t="s">
        <v>431</v>
      </c>
      <c r="D71" s="207" t="s">
        <v>788</v>
      </c>
      <c r="E71" s="245">
        <v>1.6681806997074118E-2</v>
      </c>
      <c r="F71" s="243">
        <f t="shared" si="8"/>
        <v>3.1576126451179576E-2</v>
      </c>
      <c r="G71" s="38"/>
      <c r="H71" s="226">
        <v>1</v>
      </c>
      <c r="I71" s="227">
        <f t="shared" si="9"/>
        <v>3.3267712740877496E-2</v>
      </c>
      <c r="J71" s="38"/>
    </row>
    <row r="72" spans="1:10" x14ac:dyDescent="0.15">
      <c r="A72" t="s">
        <v>102</v>
      </c>
      <c r="B72" t="s">
        <v>119</v>
      </c>
      <c r="C72" s="189" t="s">
        <v>432</v>
      </c>
      <c r="D72" s="207" t="s">
        <v>788</v>
      </c>
      <c r="E72" s="245">
        <v>1.1955994275711328E-2</v>
      </c>
      <c r="F72" s="243">
        <f t="shared" si="8"/>
        <v>2.2630880885125652E-2</v>
      </c>
      <c r="G72" s="38"/>
      <c r="H72" s="226">
        <v>1</v>
      </c>
      <c r="I72" s="227">
        <f t="shared" si="9"/>
        <v>2.3843255299962569E-2</v>
      </c>
      <c r="J72" s="38"/>
    </row>
    <row r="73" spans="1:10" x14ac:dyDescent="0.15">
      <c r="A73" t="s">
        <v>102</v>
      </c>
      <c r="B73" t="s">
        <v>120</v>
      </c>
      <c r="C73" s="189" t="s">
        <v>429</v>
      </c>
      <c r="D73" s="207" t="s">
        <v>788</v>
      </c>
      <c r="E73" s="245">
        <v>1.2441137134663197E-2</v>
      </c>
      <c r="F73" s="243">
        <f t="shared" si="8"/>
        <v>2.3549182617296386E-2</v>
      </c>
      <c r="G73" s="38"/>
      <c r="H73" s="226">
        <v>1</v>
      </c>
      <c r="I73" s="227">
        <f t="shared" si="9"/>
        <v>2.4810752002971399E-2</v>
      </c>
      <c r="J73" s="38"/>
    </row>
    <row r="74" spans="1:10" x14ac:dyDescent="0.15">
      <c r="A74" s="48" t="s">
        <v>123</v>
      </c>
      <c r="B74" s="48" t="s">
        <v>124</v>
      </c>
      <c r="C74" s="269" t="s">
        <v>429</v>
      </c>
      <c r="D74" s="450" t="s">
        <v>788</v>
      </c>
      <c r="E74" s="694">
        <v>2.7697002167493396E-2</v>
      </c>
      <c r="F74" s="695">
        <f>E74/SUM(E$74:E$132)</f>
        <v>3.2088489237215849E-2</v>
      </c>
      <c r="G74" s="38"/>
      <c r="H74" s="747">
        <v>1</v>
      </c>
      <c r="I74" s="232">
        <f>H74*(F74/SUMPRODUCT(H$74:H$132,F$74:F$132))</f>
        <v>3.7189636597448721E-2</v>
      </c>
      <c r="J74" s="100"/>
    </row>
    <row r="75" spans="1:10" x14ac:dyDescent="0.15">
      <c r="A75" t="s">
        <v>123</v>
      </c>
      <c r="B75" t="s">
        <v>124</v>
      </c>
      <c r="C75" s="189" t="s">
        <v>554</v>
      </c>
      <c r="D75" s="207" t="s">
        <v>788</v>
      </c>
      <c r="E75" s="245">
        <v>0.15330957404667908</v>
      </c>
      <c r="F75" s="243">
        <f t="shared" ref="F75:F132" si="10">E75/SUM(E$74:E$132)</f>
        <v>0.17761751206896861</v>
      </c>
      <c r="G75" s="38"/>
      <c r="H75" s="226">
        <v>1</v>
      </c>
      <c r="I75" s="227">
        <f t="shared" ref="I75:I132" si="11">H75*(F75/SUMPRODUCT(H$74:H$132,F$74:F$132))</f>
        <v>0.20585359062423197</v>
      </c>
      <c r="J75" s="38"/>
    </row>
    <row r="76" spans="1:10" x14ac:dyDescent="0.15">
      <c r="A76" t="s">
        <v>123</v>
      </c>
      <c r="B76" t="s">
        <v>125</v>
      </c>
      <c r="C76" s="189" t="s">
        <v>429</v>
      </c>
      <c r="D76" s="207" t="s">
        <v>788</v>
      </c>
      <c r="E76" s="245">
        <v>3.5918943302179775E-3</v>
      </c>
      <c r="F76" s="243">
        <f t="shared" si="10"/>
        <v>4.1614056950787749E-3</v>
      </c>
      <c r="G76" s="38"/>
      <c r="H76" s="226">
        <v>1</v>
      </c>
      <c r="I76" s="227">
        <f t="shared" si="11"/>
        <v>4.822949575171741E-3</v>
      </c>
      <c r="J76" s="38"/>
    </row>
    <row r="77" spans="1:10" x14ac:dyDescent="0.15">
      <c r="A77" t="s">
        <v>123</v>
      </c>
      <c r="B77" t="s">
        <v>125</v>
      </c>
      <c r="C77" s="189" t="s">
        <v>554</v>
      </c>
      <c r="D77" s="207" t="s">
        <v>788</v>
      </c>
      <c r="E77" s="245">
        <v>1.1273778288041915E-2</v>
      </c>
      <c r="F77" s="243">
        <f t="shared" si="10"/>
        <v>1.3061287682721447E-2</v>
      </c>
      <c r="G77" s="38"/>
      <c r="H77" s="226">
        <v>1</v>
      </c>
      <c r="I77" s="227">
        <f t="shared" si="11"/>
        <v>1.5137656959299379E-2</v>
      </c>
      <c r="J77" s="38"/>
    </row>
    <row r="78" spans="1:10" x14ac:dyDescent="0.15">
      <c r="A78" t="s">
        <v>123</v>
      </c>
      <c r="B78" t="s">
        <v>126</v>
      </c>
      <c r="C78" s="189" t="s">
        <v>429</v>
      </c>
      <c r="D78" s="207" t="s">
        <v>788</v>
      </c>
      <c r="E78" s="245">
        <v>5.1422802452119757E-3</v>
      </c>
      <c r="F78" s="243">
        <f t="shared" si="10"/>
        <v>5.9576124269829431E-3</v>
      </c>
      <c r="G78" s="38"/>
      <c r="H78" s="226">
        <v>1</v>
      </c>
      <c r="I78" s="227">
        <f t="shared" si="11"/>
        <v>6.9047015429749758E-3</v>
      </c>
      <c r="J78" s="38"/>
    </row>
    <row r="79" spans="1:10" x14ac:dyDescent="0.15">
      <c r="A79" t="s">
        <v>123</v>
      </c>
      <c r="B79" t="s">
        <v>126</v>
      </c>
      <c r="C79" s="189" t="s">
        <v>554</v>
      </c>
      <c r="D79" s="207" t="s">
        <v>788</v>
      </c>
      <c r="E79" s="245">
        <v>5.0756658892822373E-3</v>
      </c>
      <c r="F79" s="243">
        <f t="shared" si="10"/>
        <v>5.8804360585670056E-3</v>
      </c>
      <c r="G79" s="38"/>
      <c r="H79" s="226">
        <v>1</v>
      </c>
      <c r="I79" s="227">
        <f t="shared" si="11"/>
        <v>6.8152563505235108E-3</v>
      </c>
      <c r="J79" s="38"/>
    </row>
    <row r="80" spans="1:10" x14ac:dyDescent="0.15">
      <c r="A80" t="s">
        <v>123</v>
      </c>
      <c r="B80" t="s">
        <v>127</v>
      </c>
      <c r="C80" s="189" t="s">
        <v>429</v>
      </c>
      <c r="D80" s="207" t="s">
        <v>788</v>
      </c>
      <c r="E80" s="245">
        <v>7.7953979812393449E-3</v>
      </c>
      <c r="F80" s="243">
        <f t="shared" si="10"/>
        <v>9.0313941815115574E-3</v>
      </c>
      <c r="G80" s="38"/>
      <c r="H80" s="226">
        <v>1</v>
      </c>
      <c r="I80" s="227">
        <f t="shared" si="11"/>
        <v>1.0467126236319804E-2</v>
      </c>
      <c r="J80" s="38"/>
    </row>
    <row r="81" spans="1:10" x14ac:dyDescent="0.15">
      <c r="A81" t="s">
        <v>123</v>
      </c>
      <c r="B81" t="s">
        <v>127</v>
      </c>
      <c r="C81" s="189" t="s">
        <v>554</v>
      </c>
      <c r="D81" s="207" t="s">
        <v>788</v>
      </c>
      <c r="E81" s="245">
        <v>9.9049580354478137E-4</v>
      </c>
      <c r="F81" s="243">
        <f t="shared" si="10"/>
        <v>1.1475434683995123E-3</v>
      </c>
      <c r="G81" s="38"/>
      <c r="H81" s="226">
        <v>1</v>
      </c>
      <c r="I81" s="227">
        <f t="shared" si="11"/>
        <v>1.329969892133712E-3</v>
      </c>
      <c r="J81" s="38"/>
    </row>
    <row r="82" spans="1:10" x14ac:dyDescent="0.15">
      <c r="A82" t="s">
        <v>123</v>
      </c>
      <c r="B82" t="s">
        <v>128</v>
      </c>
      <c r="C82" s="189" t="s">
        <v>429</v>
      </c>
      <c r="D82" s="207" t="s">
        <v>788</v>
      </c>
      <c r="E82" s="245">
        <v>7.2290737321248468E-3</v>
      </c>
      <c r="F82" s="243">
        <f t="shared" si="10"/>
        <v>8.3752766182247605E-3</v>
      </c>
      <c r="G82" s="38"/>
      <c r="H82" s="226">
        <v>1</v>
      </c>
      <c r="I82" s="227">
        <f t="shared" si="11"/>
        <v>9.7067048414870485E-3</v>
      </c>
      <c r="J82" s="38"/>
    </row>
    <row r="83" spans="1:10" x14ac:dyDescent="0.15">
      <c r="A83" t="s">
        <v>129</v>
      </c>
      <c r="B83" t="s">
        <v>130</v>
      </c>
      <c r="C83" s="189" t="s">
        <v>429</v>
      </c>
      <c r="D83" s="207" t="s">
        <v>788</v>
      </c>
      <c r="E83" s="245">
        <v>0.11468635139136064</v>
      </c>
      <c r="F83" s="243">
        <f t="shared" si="10"/>
        <v>0.13287039983686019</v>
      </c>
      <c r="G83" s="38"/>
      <c r="H83" s="226">
        <v>1</v>
      </c>
      <c r="I83" s="227">
        <f t="shared" si="11"/>
        <v>0.15399297386551816</v>
      </c>
      <c r="J83" s="38"/>
    </row>
    <row r="84" spans="1:10" x14ac:dyDescent="0.15">
      <c r="A84" t="s">
        <v>129</v>
      </c>
      <c r="B84" t="s">
        <v>131</v>
      </c>
      <c r="C84" s="189" t="s">
        <v>431</v>
      </c>
      <c r="D84" s="207" t="s">
        <v>788</v>
      </c>
      <c r="E84" s="245">
        <v>1.4457046752667088E-2</v>
      </c>
      <c r="F84" s="243">
        <f t="shared" si="10"/>
        <v>1.6749278001983416E-2</v>
      </c>
      <c r="G84" s="38"/>
      <c r="H84" s="226">
        <v>1</v>
      </c>
      <c r="I84" s="227">
        <f t="shared" si="11"/>
        <v>1.9411931722886279E-2</v>
      </c>
      <c r="J84" s="38"/>
    </row>
    <row r="85" spans="1:10" x14ac:dyDescent="0.15">
      <c r="A85" t="s">
        <v>129</v>
      </c>
      <c r="B85" t="s">
        <v>130</v>
      </c>
      <c r="C85" s="189" t="s">
        <v>432</v>
      </c>
      <c r="D85" s="207" t="s">
        <v>788</v>
      </c>
      <c r="E85" s="245">
        <v>1.7032815030561078E-4</v>
      </c>
      <c r="F85" s="243">
        <f t="shared" si="10"/>
        <v>1.9733446186068283E-4</v>
      </c>
      <c r="G85" s="38"/>
      <c r="H85" s="226">
        <v>1</v>
      </c>
      <c r="I85" s="227">
        <f t="shared" si="11"/>
        <v>2.2870496864154172E-4</v>
      </c>
      <c r="J85" s="38"/>
    </row>
    <row r="86" spans="1:10" x14ac:dyDescent="0.15">
      <c r="A86" t="s">
        <v>129</v>
      </c>
      <c r="B86" t="s">
        <v>130</v>
      </c>
      <c r="C86" s="189" t="s">
        <v>517</v>
      </c>
      <c r="D86" s="207" t="s">
        <v>788</v>
      </c>
      <c r="E86" s="245">
        <v>2.8184566311056625E-3</v>
      </c>
      <c r="F86" s="243">
        <f t="shared" si="10"/>
        <v>3.2653358918005456E-3</v>
      </c>
      <c r="G86" s="38"/>
      <c r="H86" s="226">
        <v>1</v>
      </c>
      <c r="I86" s="227">
        <f t="shared" si="11"/>
        <v>3.7844304319515185E-3</v>
      </c>
      <c r="J86" s="38"/>
    </row>
    <row r="87" spans="1:10" x14ac:dyDescent="0.15">
      <c r="A87" t="s">
        <v>129</v>
      </c>
      <c r="B87" t="s">
        <v>130</v>
      </c>
      <c r="C87" s="189" t="s">
        <v>554</v>
      </c>
      <c r="D87" s="207" t="s">
        <v>788</v>
      </c>
      <c r="E87" s="245">
        <v>8.2104867982850424E-2</v>
      </c>
      <c r="F87" s="243">
        <f t="shared" si="10"/>
        <v>9.5122972394566546E-2</v>
      </c>
      <c r="G87" s="38"/>
      <c r="H87" s="226">
        <v>1</v>
      </c>
      <c r="I87" s="227">
        <f t="shared" si="11"/>
        <v>0.11024479056247445</v>
      </c>
      <c r="J87" s="38"/>
    </row>
    <row r="88" spans="1:10" x14ac:dyDescent="0.15">
      <c r="A88" t="s">
        <v>129</v>
      </c>
      <c r="B88" t="s">
        <v>132</v>
      </c>
      <c r="C88" s="189" t="s">
        <v>429</v>
      </c>
      <c r="D88" s="207" t="s">
        <v>788</v>
      </c>
      <c r="E88" s="245">
        <v>4.133674662625566E-4</v>
      </c>
      <c r="F88" s="243">
        <f t="shared" si="10"/>
        <v>4.7890877907894779E-4</v>
      </c>
      <c r="G88" s="38"/>
      <c r="H88" s="226">
        <v>1</v>
      </c>
      <c r="I88" s="227">
        <f t="shared" si="11"/>
        <v>5.5504150805010734E-4</v>
      </c>
      <c r="J88" s="38"/>
    </row>
    <row r="89" spans="1:10" x14ac:dyDescent="0.15">
      <c r="A89" t="s">
        <v>129</v>
      </c>
      <c r="B89" t="s">
        <v>132</v>
      </c>
      <c r="C89" s="189" t="s">
        <v>431</v>
      </c>
      <c r="D89" s="207" t="s">
        <v>788</v>
      </c>
      <c r="E89" s="245">
        <v>4.2190824943107679E-4</v>
      </c>
      <c r="F89" s="243">
        <f t="shared" si="10"/>
        <v>4.8880374269714424E-4</v>
      </c>
      <c r="G89" s="38"/>
      <c r="H89" s="226">
        <v>1</v>
      </c>
      <c r="I89" s="227">
        <f t="shared" si="11"/>
        <v>5.6650948643903411E-4</v>
      </c>
      <c r="J89" s="38"/>
    </row>
    <row r="90" spans="1:10" x14ac:dyDescent="0.15">
      <c r="A90" t="s">
        <v>129</v>
      </c>
      <c r="B90" t="s">
        <v>132</v>
      </c>
      <c r="C90" s="189" t="s">
        <v>432</v>
      </c>
      <c r="D90" s="207" t="s">
        <v>788</v>
      </c>
      <c r="E90" s="245">
        <v>4.1819691617028263E-3</v>
      </c>
      <c r="F90" s="243">
        <f t="shared" si="10"/>
        <v>4.8450396047975729E-3</v>
      </c>
      <c r="G90" s="38"/>
      <c r="H90" s="226">
        <v>1</v>
      </c>
      <c r="I90" s="227">
        <f t="shared" si="11"/>
        <v>5.6152616245233383E-3</v>
      </c>
      <c r="J90" s="38"/>
    </row>
    <row r="91" spans="1:10" x14ac:dyDescent="0.15">
      <c r="A91" t="s">
        <v>129</v>
      </c>
      <c r="B91" t="s">
        <v>132</v>
      </c>
      <c r="C91" s="189" t="s">
        <v>517</v>
      </c>
      <c r="D91" s="207" t="s">
        <v>788</v>
      </c>
      <c r="E91" s="245">
        <v>1.907466648591984E-3</v>
      </c>
      <c r="F91" s="243">
        <f t="shared" si="10"/>
        <v>2.2099042579968651E-3</v>
      </c>
      <c r="G91" s="38"/>
      <c r="H91" s="226">
        <v>1</v>
      </c>
      <c r="I91" s="227">
        <f t="shared" si="11"/>
        <v>2.5612155082309134E-3</v>
      </c>
      <c r="J91" s="38"/>
    </row>
    <row r="92" spans="1:10" x14ac:dyDescent="0.15">
      <c r="A92" t="s">
        <v>129</v>
      </c>
      <c r="B92" t="s">
        <v>133</v>
      </c>
      <c r="C92" s="189" t="s">
        <v>429</v>
      </c>
      <c r="D92" s="207" t="s">
        <v>788</v>
      </c>
      <c r="E92" s="245">
        <v>1.4160927841825889E-2</v>
      </c>
      <c r="F92" s="243">
        <f t="shared" si="10"/>
        <v>1.6406208076003632E-2</v>
      </c>
      <c r="G92" s="38"/>
      <c r="H92" s="226">
        <v>1</v>
      </c>
      <c r="I92" s="227">
        <f t="shared" si="11"/>
        <v>1.9014323540700363E-2</v>
      </c>
      <c r="J92" s="38"/>
    </row>
    <row r="93" spans="1:10" x14ac:dyDescent="0.15">
      <c r="A93" t="s">
        <v>129</v>
      </c>
      <c r="B93" t="s">
        <v>134</v>
      </c>
      <c r="C93" s="189" t="s">
        <v>429</v>
      </c>
      <c r="D93" s="207" t="s">
        <v>788</v>
      </c>
      <c r="E93" s="245">
        <v>8.1897014648674618E-2</v>
      </c>
      <c r="F93" s="243">
        <f t="shared" si="10"/>
        <v>9.4882162958358038E-2</v>
      </c>
      <c r="G93" s="38"/>
      <c r="H93" s="226">
        <v>0</v>
      </c>
      <c r="I93" s="227">
        <f t="shared" si="11"/>
        <v>0</v>
      </c>
      <c r="J93" s="540" t="s">
        <v>1307</v>
      </c>
    </row>
    <row r="94" spans="1:10" x14ac:dyDescent="0.15">
      <c r="A94" t="s">
        <v>129</v>
      </c>
      <c r="B94" t="s">
        <v>135</v>
      </c>
      <c r="C94" s="189" t="s">
        <v>432</v>
      </c>
      <c r="D94" s="207" t="s">
        <v>788</v>
      </c>
      <c r="E94" s="245">
        <v>6.3677383867855877E-4</v>
      </c>
      <c r="F94" s="243">
        <f t="shared" si="10"/>
        <v>7.377372592676794E-4</v>
      </c>
      <c r="G94" s="38"/>
      <c r="H94" s="226">
        <v>1</v>
      </c>
      <c r="I94" s="227">
        <f t="shared" si="11"/>
        <v>8.5501627620232902E-4</v>
      </c>
      <c r="J94" s="38"/>
    </row>
    <row r="95" spans="1:10" x14ac:dyDescent="0.15">
      <c r="A95" t="s">
        <v>129</v>
      </c>
      <c r="B95" t="s">
        <v>136</v>
      </c>
      <c r="C95" s="189" t="s">
        <v>429</v>
      </c>
      <c r="D95" s="207" t="s">
        <v>788</v>
      </c>
      <c r="E95" s="245">
        <v>3.5772551297134788E-3</v>
      </c>
      <c r="F95" s="243">
        <f t="shared" si="10"/>
        <v>4.1444453820098986E-3</v>
      </c>
      <c r="G95" s="38"/>
      <c r="H95" s="226">
        <v>1</v>
      </c>
      <c r="I95" s="227">
        <f t="shared" si="11"/>
        <v>4.8032930598728239E-3</v>
      </c>
      <c r="J95" s="38"/>
    </row>
    <row r="96" spans="1:10" x14ac:dyDescent="0.15">
      <c r="A96" t="s">
        <v>129</v>
      </c>
      <c r="B96" t="s">
        <v>136</v>
      </c>
      <c r="C96" s="189" t="s">
        <v>432</v>
      </c>
      <c r="D96" s="207" t="s">
        <v>788</v>
      </c>
      <c r="E96" s="245">
        <v>1.1696643920157032E-2</v>
      </c>
      <c r="F96" s="243">
        <f t="shared" si="10"/>
        <v>1.3551200605530103E-2</v>
      </c>
      <c r="G96" s="38"/>
      <c r="H96" s="226">
        <v>1</v>
      </c>
      <c r="I96" s="227">
        <f t="shared" si="11"/>
        <v>1.5705451953602723E-2</v>
      </c>
      <c r="J96" s="38"/>
    </row>
    <row r="97" spans="1:10" x14ac:dyDescent="0.15">
      <c r="A97" t="s">
        <v>129</v>
      </c>
      <c r="B97" t="s">
        <v>137</v>
      </c>
      <c r="C97" s="189" t="s">
        <v>429</v>
      </c>
      <c r="D97" s="207" t="s">
        <v>788</v>
      </c>
      <c r="E97" s="245">
        <v>1.8315983894418224E-2</v>
      </c>
      <c r="F97" s="243">
        <f t="shared" si="10"/>
        <v>2.1220067374470235E-2</v>
      </c>
      <c r="G97" s="38"/>
      <c r="H97" s="226">
        <v>1</v>
      </c>
      <c r="I97" s="227">
        <f t="shared" si="11"/>
        <v>2.45934480865076E-2</v>
      </c>
      <c r="J97" s="38"/>
    </row>
    <row r="98" spans="1:10" x14ac:dyDescent="0.15">
      <c r="A98" t="s">
        <v>129</v>
      </c>
      <c r="B98" t="s">
        <v>138</v>
      </c>
      <c r="C98" s="189" t="s">
        <v>429</v>
      </c>
      <c r="D98" s="207" t="s">
        <v>788</v>
      </c>
      <c r="E98" s="245">
        <v>5.5349173493308744E-3</v>
      </c>
      <c r="F98" s="243">
        <f t="shared" si="10"/>
        <v>6.4125039496632516E-3</v>
      </c>
      <c r="G98" s="38"/>
      <c r="H98" s="226">
        <v>1</v>
      </c>
      <c r="I98" s="227">
        <f t="shared" si="11"/>
        <v>7.4319077412686721E-3</v>
      </c>
      <c r="J98" s="38"/>
    </row>
    <row r="99" spans="1:10" x14ac:dyDescent="0.15">
      <c r="A99" t="s">
        <v>129</v>
      </c>
      <c r="B99" t="s">
        <v>138</v>
      </c>
      <c r="C99" s="189" t="s">
        <v>431</v>
      </c>
      <c r="D99" s="207" t="s">
        <v>788</v>
      </c>
      <c r="E99" s="245">
        <v>5.6341450506081092E-4</v>
      </c>
      <c r="F99" s="243">
        <f t="shared" si="10"/>
        <v>6.5274646593174246E-4</v>
      </c>
      <c r="G99" s="38"/>
      <c r="H99" s="226">
        <v>1</v>
      </c>
      <c r="I99" s="227">
        <f t="shared" si="11"/>
        <v>7.5651438990515386E-4</v>
      </c>
      <c r="J99" s="38"/>
    </row>
    <row r="100" spans="1:10" x14ac:dyDescent="0.15">
      <c r="A100" t="s">
        <v>129</v>
      </c>
      <c r="B100" t="s">
        <v>138</v>
      </c>
      <c r="C100" s="189" t="s">
        <v>432</v>
      </c>
      <c r="D100" s="207" t="s">
        <v>788</v>
      </c>
      <c r="E100" s="245">
        <v>4.5474608392579614E-3</v>
      </c>
      <c r="F100" s="243">
        <f t="shared" si="10"/>
        <v>5.2684816686930144E-3</v>
      </c>
      <c r="G100" s="38"/>
      <c r="H100" s="226">
        <v>1</v>
      </c>
      <c r="I100" s="227">
        <f t="shared" si="11"/>
        <v>6.1060188041440347E-3</v>
      </c>
      <c r="J100" s="38"/>
    </row>
    <row r="101" spans="1:10" x14ac:dyDescent="0.15">
      <c r="A101" t="s">
        <v>129</v>
      </c>
      <c r="B101" t="s">
        <v>139</v>
      </c>
      <c r="C101" s="189" t="s">
        <v>429</v>
      </c>
      <c r="D101" s="207" t="s">
        <v>788</v>
      </c>
      <c r="E101" s="245">
        <v>7.8208331114050034E-4</v>
      </c>
      <c r="F101" s="243">
        <f t="shared" si="10"/>
        <v>9.0608621685388984E-4</v>
      </c>
      <c r="G101" s="38"/>
      <c r="H101" s="226">
        <v>1</v>
      </c>
      <c r="I101" s="227">
        <f t="shared" si="11"/>
        <v>1.0501278786186007E-3</v>
      </c>
      <c r="J101" s="38"/>
    </row>
    <row r="102" spans="1:10" x14ac:dyDescent="0.15">
      <c r="A102" t="s">
        <v>129</v>
      </c>
      <c r="B102" t="s">
        <v>139</v>
      </c>
      <c r="C102" s="189" t="s">
        <v>554</v>
      </c>
      <c r="D102" s="207" t="s">
        <v>788</v>
      </c>
      <c r="E102" s="245">
        <v>9.1503479937599542E-3</v>
      </c>
      <c r="F102" s="243">
        <f t="shared" si="10"/>
        <v>1.0601177749812729E-2</v>
      </c>
      <c r="G102" s="38"/>
      <c r="H102" s="226">
        <v>1</v>
      </c>
      <c r="I102" s="227">
        <f t="shared" si="11"/>
        <v>1.2286460266357555E-2</v>
      </c>
      <c r="J102" s="38"/>
    </row>
    <row r="103" spans="1:10" x14ac:dyDescent="0.15">
      <c r="A103" t="s">
        <v>129</v>
      </c>
      <c r="B103" t="s">
        <v>140</v>
      </c>
      <c r="C103" s="189" t="s">
        <v>517</v>
      </c>
      <c r="D103" s="207" t="s">
        <v>788</v>
      </c>
      <c r="E103" s="245">
        <v>2.008619160291531E-3</v>
      </c>
      <c r="F103" s="243">
        <f t="shared" si="10"/>
        <v>2.3270949656178418E-3</v>
      </c>
      <c r="G103" s="38"/>
      <c r="H103" s="226">
        <v>1</v>
      </c>
      <c r="I103" s="227">
        <f t="shared" si="11"/>
        <v>2.6970361695528963E-3</v>
      </c>
      <c r="J103" s="38"/>
    </row>
    <row r="104" spans="1:10" x14ac:dyDescent="0.15">
      <c r="A104" t="s">
        <v>129</v>
      </c>
      <c r="B104" t="s">
        <v>141</v>
      </c>
      <c r="C104" s="189" t="s">
        <v>517</v>
      </c>
      <c r="D104" s="207" t="s">
        <v>788</v>
      </c>
      <c r="E104" s="245">
        <v>1.1233366817479016E-3</v>
      </c>
      <c r="F104" s="243">
        <f t="shared" si="10"/>
        <v>1.3014468787652016E-3</v>
      </c>
      <c r="G104" s="38"/>
      <c r="H104" s="226">
        <v>1</v>
      </c>
      <c r="I104" s="227">
        <f t="shared" si="11"/>
        <v>1.5083395205788502E-3</v>
      </c>
      <c r="J104" s="38"/>
    </row>
    <row r="105" spans="1:10" x14ac:dyDescent="0.15">
      <c r="A105" t="s">
        <v>129</v>
      </c>
      <c r="B105" t="s">
        <v>142</v>
      </c>
      <c r="C105" s="189" t="s">
        <v>429</v>
      </c>
      <c r="D105" s="207" t="s">
        <v>788</v>
      </c>
      <c r="E105" s="245">
        <v>4.1542019598690368E-2</v>
      </c>
      <c r="F105" s="243">
        <f t="shared" si="10"/>
        <v>4.8128697854141277E-2</v>
      </c>
      <c r="G105" s="38"/>
      <c r="H105" s="226">
        <v>1</v>
      </c>
      <c r="I105" s="227">
        <f t="shared" si="11"/>
        <v>5.577977728624358E-2</v>
      </c>
      <c r="J105" s="38"/>
    </row>
    <row r="106" spans="1:10" x14ac:dyDescent="0.15">
      <c r="A106" t="s">
        <v>129</v>
      </c>
      <c r="B106" t="s">
        <v>142</v>
      </c>
      <c r="C106" s="189" t="s">
        <v>554</v>
      </c>
      <c r="D106" s="207" t="s">
        <v>788</v>
      </c>
      <c r="E106" s="245">
        <v>1.7842523460604481E-2</v>
      </c>
      <c r="F106" s="243">
        <f t="shared" si="10"/>
        <v>2.0671537611472609E-2</v>
      </c>
      <c r="G106" s="38"/>
      <c r="H106" s="226">
        <v>1</v>
      </c>
      <c r="I106" s="227">
        <f t="shared" si="11"/>
        <v>2.3957717859448262E-2</v>
      </c>
      <c r="J106" s="38"/>
    </row>
    <row r="107" spans="1:10" x14ac:dyDescent="0.15">
      <c r="A107" t="s">
        <v>129</v>
      </c>
      <c r="B107" t="s">
        <v>143</v>
      </c>
      <c r="C107" s="189" t="s">
        <v>429</v>
      </c>
      <c r="D107" s="207" t="s">
        <v>788</v>
      </c>
      <c r="E107" s="245">
        <v>2.3741101442927748E-3</v>
      </c>
      <c r="F107" s="243">
        <f t="shared" si="10"/>
        <v>2.7505362259932324E-3</v>
      </c>
      <c r="G107" s="38"/>
      <c r="H107" s="226">
        <v>1</v>
      </c>
      <c r="I107" s="227">
        <f t="shared" si="11"/>
        <v>3.187792417916952E-3</v>
      </c>
      <c r="J107" s="38"/>
    </row>
    <row r="108" spans="1:10" x14ac:dyDescent="0.15">
      <c r="A108" t="s">
        <v>129</v>
      </c>
      <c r="B108" t="s">
        <v>144</v>
      </c>
      <c r="C108" s="189" t="s">
        <v>429</v>
      </c>
      <c r="D108" s="207" t="s">
        <v>788</v>
      </c>
      <c r="E108" s="245">
        <v>1.6845774935634274E-3</v>
      </c>
      <c r="F108" s="243">
        <f t="shared" si="10"/>
        <v>1.9516750023909958E-3</v>
      </c>
      <c r="G108" s="38"/>
      <c r="H108" s="226">
        <v>1</v>
      </c>
      <c r="I108" s="227">
        <f t="shared" si="11"/>
        <v>2.2619352241446803E-3</v>
      </c>
      <c r="J108" s="38"/>
    </row>
    <row r="109" spans="1:10" x14ac:dyDescent="0.15">
      <c r="A109" t="s">
        <v>129</v>
      </c>
      <c r="B109" t="s">
        <v>145</v>
      </c>
      <c r="C109" s="189" t="s">
        <v>429</v>
      </c>
      <c r="D109" s="207" t="s">
        <v>788</v>
      </c>
      <c r="E109" s="245">
        <v>6.3102627840955286E-3</v>
      </c>
      <c r="F109" s="243">
        <f t="shared" si="10"/>
        <v>7.3107839688550062E-3</v>
      </c>
      <c r="G109" s="38"/>
      <c r="H109" s="226">
        <v>0</v>
      </c>
      <c r="I109" s="227">
        <f t="shared" si="11"/>
        <v>0</v>
      </c>
      <c r="J109" s="38"/>
    </row>
    <row r="110" spans="1:10" x14ac:dyDescent="0.15">
      <c r="A110" t="s">
        <v>129</v>
      </c>
      <c r="B110" t="s">
        <v>146</v>
      </c>
      <c r="C110" s="189" t="s">
        <v>431</v>
      </c>
      <c r="D110" s="207" t="s">
        <v>788</v>
      </c>
      <c r="E110" s="245">
        <v>7.0481651740146147E-3</v>
      </c>
      <c r="F110" s="243">
        <f t="shared" si="10"/>
        <v>8.1656841762436719E-3</v>
      </c>
      <c r="G110" s="38"/>
      <c r="H110" s="226">
        <v>1</v>
      </c>
      <c r="I110" s="227">
        <f t="shared" si="11"/>
        <v>9.4637932262587321E-3</v>
      </c>
      <c r="J110" s="38"/>
    </row>
    <row r="111" spans="1:10" x14ac:dyDescent="0.15">
      <c r="A111" t="s">
        <v>129</v>
      </c>
      <c r="B111" t="s">
        <v>147</v>
      </c>
      <c r="C111" s="189" t="s">
        <v>429</v>
      </c>
      <c r="D111" s="207" t="s">
        <v>788</v>
      </c>
      <c r="E111" s="245">
        <v>1.8501140785076132E-2</v>
      </c>
      <c r="F111" s="243">
        <f t="shared" si="10"/>
        <v>2.1434581741662139E-2</v>
      </c>
      <c r="G111" s="38"/>
      <c r="H111" s="226">
        <v>1</v>
      </c>
      <c r="I111" s="227">
        <f t="shared" si="11"/>
        <v>2.4842064071567631E-2</v>
      </c>
      <c r="J111" s="38"/>
    </row>
    <row r="112" spans="1:10" x14ac:dyDescent="0.15">
      <c r="A112" t="s">
        <v>129</v>
      </c>
      <c r="B112" t="s">
        <v>147</v>
      </c>
      <c r="C112" s="189" t="s">
        <v>431</v>
      </c>
      <c r="D112" s="207" t="s">
        <v>788</v>
      </c>
      <c r="E112" s="245">
        <v>1.1264728242963607E-2</v>
      </c>
      <c r="F112" s="243">
        <f t="shared" si="10"/>
        <v>1.3050802711375615E-2</v>
      </c>
      <c r="G112" s="38"/>
      <c r="H112" s="226">
        <v>1</v>
      </c>
      <c r="I112" s="227">
        <f t="shared" si="11"/>
        <v>1.5125505178914721E-2</v>
      </c>
      <c r="J112" s="38"/>
    </row>
    <row r="113" spans="1:10" x14ac:dyDescent="0.15">
      <c r="A113" t="s">
        <v>129</v>
      </c>
      <c r="B113" t="s">
        <v>147</v>
      </c>
      <c r="C113" s="189" t="s">
        <v>432</v>
      </c>
      <c r="D113" s="207" t="s">
        <v>788</v>
      </c>
      <c r="E113" s="245">
        <v>3.5869693808264183E-3</v>
      </c>
      <c r="F113" s="243">
        <f t="shared" si="10"/>
        <v>4.1556998723117772E-3</v>
      </c>
      <c r="G113" s="38"/>
      <c r="H113" s="226">
        <v>1</v>
      </c>
      <c r="I113" s="227">
        <f t="shared" si="11"/>
        <v>4.8163366906066422E-3</v>
      </c>
      <c r="J113" s="38"/>
    </row>
    <row r="114" spans="1:10" x14ac:dyDescent="0.15">
      <c r="A114" t="s">
        <v>129</v>
      </c>
      <c r="B114" t="s">
        <v>147</v>
      </c>
      <c r="C114" s="189" t="s">
        <v>517</v>
      </c>
      <c r="D114" s="207" t="s">
        <v>788</v>
      </c>
      <c r="E114" s="245">
        <v>5.0814082254670623E-4</v>
      </c>
      <c r="F114" s="243">
        <f t="shared" si="10"/>
        <v>5.8870888685624314E-4</v>
      </c>
      <c r="G114" s="38"/>
      <c r="H114" s="226">
        <v>1</v>
      </c>
      <c r="I114" s="227">
        <f t="shared" si="11"/>
        <v>6.8229667660638842E-4</v>
      </c>
      <c r="J114" s="38"/>
    </row>
    <row r="115" spans="1:10" x14ac:dyDescent="0.15">
      <c r="A115" t="s">
        <v>129</v>
      </c>
      <c r="B115" t="s">
        <v>148</v>
      </c>
      <c r="C115" s="189" t="s">
        <v>429</v>
      </c>
      <c r="D115" s="207" t="s">
        <v>788</v>
      </c>
      <c r="E115" s="245">
        <v>1.336105844961946E-2</v>
      </c>
      <c r="F115" s="243">
        <f t="shared" si="10"/>
        <v>1.5479515713134197E-2</v>
      </c>
      <c r="G115" s="38"/>
      <c r="H115" s="226">
        <v>1</v>
      </c>
      <c r="I115" s="227">
        <f t="shared" si="11"/>
        <v>1.794031373120222E-2</v>
      </c>
      <c r="J115" s="38"/>
    </row>
    <row r="116" spans="1:10" x14ac:dyDescent="0.15">
      <c r="A116" t="s">
        <v>129</v>
      </c>
      <c r="B116" t="s">
        <v>148</v>
      </c>
      <c r="C116" s="189" t="s">
        <v>431</v>
      </c>
      <c r="D116" s="207" t="s">
        <v>788</v>
      </c>
      <c r="E116" s="245">
        <v>9.9623657563112037E-3</v>
      </c>
      <c r="F116" s="243">
        <f t="shared" si="10"/>
        <v>1.154194466301444E-2</v>
      </c>
      <c r="G116" s="38"/>
      <c r="H116" s="226">
        <v>1</v>
      </c>
      <c r="I116" s="227">
        <f t="shared" si="11"/>
        <v>1.3376782075098178E-2</v>
      </c>
      <c r="J116" s="38"/>
    </row>
    <row r="117" spans="1:10" x14ac:dyDescent="0.15">
      <c r="A117" t="s">
        <v>129</v>
      </c>
      <c r="B117" t="s">
        <v>148</v>
      </c>
      <c r="C117" s="189" t="s">
        <v>517</v>
      </c>
      <c r="D117" s="207" t="s">
        <v>788</v>
      </c>
      <c r="E117" s="245">
        <v>3.1419429178839811E-5</v>
      </c>
      <c r="F117" s="243">
        <f t="shared" si="10"/>
        <v>3.6401124170324243E-5</v>
      </c>
      <c r="G117" s="38"/>
      <c r="H117" s="226">
        <v>1</v>
      </c>
      <c r="I117" s="227">
        <f t="shared" si="11"/>
        <v>4.2187856512200921E-5</v>
      </c>
      <c r="J117" s="38"/>
    </row>
    <row r="118" spans="1:10" x14ac:dyDescent="0.15">
      <c r="A118" t="s">
        <v>129</v>
      </c>
      <c r="B118" t="s">
        <v>149</v>
      </c>
      <c r="C118" s="189" t="s">
        <v>429</v>
      </c>
      <c r="D118" s="207" t="s">
        <v>788</v>
      </c>
      <c r="E118" s="245">
        <v>9.663274455190704E-3</v>
      </c>
      <c r="F118" s="243">
        <f t="shared" si="10"/>
        <v>1.1195431060606812E-2</v>
      </c>
      <c r="G118" s="38"/>
      <c r="H118" s="226">
        <v>0</v>
      </c>
      <c r="I118" s="227">
        <f t="shared" si="11"/>
        <v>0</v>
      </c>
      <c r="J118" s="540" t="s">
        <v>1307</v>
      </c>
    </row>
    <row r="119" spans="1:10" x14ac:dyDescent="0.15">
      <c r="A119" t="s">
        <v>129</v>
      </c>
      <c r="B119" t="s">
        <v>149</v>
      </c>
      <c r="C119" s="189" t="s">
        <v>431</v>
      </c>
      <c r="D119" s="207" t="s">
        <v>788</v>
      </c>
      <c r="E119" s="245">
        <v>1.1251831267420213E-2</v>
      </c>
      <c r="F119" s="243">
        <f t="shared" si="10"/>
        <v>1.3035860861047764E-2</v>
      </c>
      <c r="G119" s="38"/>
      <c r="H119" s="226">
        <v>0</v>
      </c>
      <c r="I119" s="227">
        <f t="shared" si="11"/>
        <v>0</v>
      </c>
      <c r="J119" s="540" t="s">
        <v>1307</v>
      </c>
    </row>
    <row r="120" spans="1:10" x14ac:dyDescent="0.15">
      <c r="A120" t="s">
        <v>129</v>
      </c>
      <c r="B120" t="s">
        <v>149</v>
      </c>
      <c r="C120" s="189" t="s">
        <v>554</v>
      </c>
      <c r="D120" s="207" t="s">
        <v>788</v>
      </c>
      <c r="E120" s="245">
        <v>9.2715447886312311E-3</v>
      </c>
      <c r="F120" s="243">
        <f t="shared" si="10"/>
        <v>1.07415908538842E-2</v>
      </c>
      <c r="G120" s="38"/>
      <c r="H120" s="226">
        <v>0</v>
      </c>
      <c r="I120" s="227">
        <f t="shared" si="11"/>
        <v>0</v>
      </c>
      <c r="J120" s="540" t="s">
        <v>1307</v>
      </c>
    </row>
    <row r="121" spans="1:10" x14ac:dyDescent="0.15">
      <c r="A121" t="s">
        <v>129</v>
      </c>
      <c r="B121" t="s">
        <v>150</v>
      </c>
      <c r="C121" s="189" t="s">
        <v>429</v>
      </c>
      <c r="D121" s="207" t="s">
        <v>788</v>
      </c>
      <c r="E121" s="245">
        <v>1.7022528864477739E-3</v>
      </c>
      <c r="F121" s="243">
        <f t="shared" si="10"/>
        <v>1.972152910104726E-3</v>
      </c>
      <c r="G121" s="38"/>
      <c r="H121" s="226">
        <v>1</v>
      </c>
      <c r="I121" s="227">
        <f t="shared" si="11"/>
        <v>2.2856685305188075E-3</v>
      </c>
      <c r="J121" s="540" t="s">
        <v>1307</v>
      </c>
    </row>
    <row r="122" spans="1:10" x14ac:dyDescent="0.15">
      <c r="A122" t="s">
        <v>129</v>
      </c>
      <c r="B122" t="s">
        <v>151</v>
      </c>
      <c r="C122" s="189" t="s">
        <v>429</v>
      </c>
      <c r="D122" s="207" t="s">
        <v>788</v>
      </c>
      <c r="E122" s="245">
        <v>4.307117071523414E-3</v>
      </c>
      <c r="F122" s="243">
        <f t="shared" si="10"/>
        <v>4.9900302912643975E-3</v>
      </c>
      <c r="G122" s="38"/>
      <c r="H122" s="226">
        <v>1</v>
      </c>
      <c r="I122" s="227">
        <f t="shared" si="11"/>
        <v>5.7833016621784009E-3</v>
      </c>
      <c r="J122" s="38"/>
    </row>
    <row r="123" spans="1:10" x14ac:dyDescent="0.15">
      <c r="A123" t="s">
        <v>129</v>
      </c>
      <c r="B123" t="s">
        <v>151</v>
      </c>
      <c r="C123" s="189" t="s">
        <v>431</v>
      </c>
      <c r="D123" s="207" t="s">
        <v>788</v>
      </c>
      <c r="E123" s="245">
        <v>6.0103383564946945E-5</v>
      </c>
      <c r="F123" s="243">
        <f t="shared" si="10"/>
        <v>6.9633051439321107E-5</v>
      </c>
      <c r="G123" s="38"/>
      <c r="H123" s="226">
        <v>1</v>
      </c>
      <c r="I123" s="227">
        <f t="shared" si="11"/>
        <v>8.0702704918759026E-5</v>
      </c>
      <c r="J123" s="38"/>
    </row>
    <row r="124" spans="1:10" x14ac:dyDescent="0.15">
      <c r="A124" t="s">
        <v>129</v>
      </c>
      <c r="B124" t="s">
        <v>152</v>
      </c>
      <c r="C124" s="189" t="s">
        <v>432</v>
      </c>
      <c r="D124" s="207" t="s">
        <v>788</v>
      </c>
      <c r="E124" s="245">
        <v>4.4178430479877577E-5</v>
      </c>
      <c r="F124" s="243">
        <f t="shared" si="10"/>
        <v>5.1183123805161477E-5</v>
      </c>
      <c r="G124" s="38"/>
      <c r="H124" s="226">
        <v>1</v>
      </c>
      <c r="I124" s="227">
        <f t="shared" si="11"/>
        <v>5.9319769159731789E-5</v>
      </c>
      <c r="J124" s="38"/>
    </row>
    <row r="125" spans="1:10" x14ac:dyDescent="0.15">
      <c r="A125" t="s">
        <v>129</v>
      </c>
      <c r="B125" t="s">
        <v>151</v>
      </c>
      <c r="C125" s="189" t="s">
        <v>517</v>
      </c>
      <c r="D125" s="207" t="s">
        <v>788</v>
      </c>
      <c r="E125" s="245">
        <v>3.6486293292134707E-3</v>
      </c>
      <c r="F125" s="243">
        <f t="shared" si="10"/>
        <v>4.2271362890842525E-3</v>
      </c>
      <c r="G125" s="38"/>
      <c r="H125" s="226">
        <v>1</v>
      </c>
      <c r="I125" s="227">
        <f t="shared" si="11"/>
        <v>4.8991294441062695E-3</v>
      </c>
      <c r="J125" s="38"/>
    </row>
    <row r="126" spans="1:10" x14ac:dyDescent="0.15">
      <c r="A126" t="s">
        <v>129</v>
      </c>
      <c r="B126" t="s">
        <v>153</v>
      </c>
      <c r="C126" s="189" t="s">
        <v>554</v>
      </c>
      <c r="D126" s="207" t="s">
        <v>788</v>
      </c>
      <c r="E126" s="245">
        <v>1.4639303669032495E-3</v>
      </c>
      <c r="F126" s="243">
        <f t="shared" si="10"/>
        <v>1.696043259062202E-3</v>
      </c>
      <c r="G126" s="38"/>
      <c r="H126" s="226">
        <v>1</v>
      </c>
      <c r="I126" s="227">
        <f t="shared" si="11"/>
        <v>1.9656653821184564E-3</v>
      </c>
      <c r="J126" s="38"/>
    </row>
    <row r="127" spans="1:10" x14ac:dyDescent="0.15">
      <c r="A127" t="s">
        <v>129</v>
      </c>
      <c r="B127" t="s">
        <v>154</v>
      </c>
      <c r="C127" s="189" t="s">
        <v>517</v>
      </c>
      <c r="D127" s="207" t="s">
        <v>788</v>
      </c>
      <c r="E127" s="245">
        <v>2.1338989904083672E-2</v>
      </c>
      <c r="F127" s="243">
        <f t="shared" si="10"/>
        <v>2.4722384889505743E-2</v>
      </c>
      <c r="G127" s="38"/>
      <c r="H127" s="226">
        <v>1</v>
      </c>
      <c r="I127" s="227">
        <f t="shared" si="11"/>
        <v>2.8652533407420369E-2</v>
      </c>
      <c r="J127" s="38"/>
    </row>
    <row r="128" spans="1:10" x14ac:dyDescent="0.15">
      <c r="A128" t="s">
        <v>129</v>
      </c>
      <c r="B128" t="s">
        <v>155</v>
      </c>
      <c r="C128" s="189" t="s">
        <v>429</v>
      </c>
      <c r="D128" s="207" t="s">
        <v>788</v>
      </c>
      <c r="E128" s="245">
        <v>2.0891064203446023E-3</v>
      </c>
      <c r="F128" s="243">
        <f t="shared" si="10"/>
        <v>2.4203438509061265E-3</v>
      </c>
      <c r="G128" s="38"/>
      <c r="H128" s="226">
        <v>1</v>
      </c>
      <c r="I128" s="227">
        <f t="shared" si="11"/>
        <v>2.805108947032444E-3</v>
      </c>
      <c r="J128" s="38"/>
    </row>
    <row r="129" spans="1:10" x14ac:dyDescent="0.15">
      <c r="A129" t="s">
        <v>129</v>
      </c>
      <c r="B129" t="s">
        <v>155</v>
      </c>
      <c r="C129" s="189" t="s">
        <v>432</v>
      </c>
      <c r="D129" s="207" t="s">
        <v>788</v>
      </c>
      <c r="E129" s="245">
        <v>2.5214949218317437E-3</v>
      </c>
      <c r="F129" s="243">
        <f t="shared" si="10"/>
        <v>2.9212895378205777E-3</v>
      </c>
      <c r="G129" s="38"/>
      <c r="H129" s="226">
        <v>1</v>
      </c>
      <c r="I129" s="227">
        <f t="shared" si="11"/>
        <v>3.3856905977821751E-3</v>
      </c>
      <c r="J129" s="38"/>
    </row>
    <row r="130" spans="1:10" x14ac:dyDescent="0.15">
      <c r="A130" t="s">
        <v>129</v>
      </c>
      <c r="B130" t="s">
        <v>156</v>
      </c>
      <c r="C130" s="189" t="s">
        <v>429</v>
      </c>
      <c r="D130" s="207" t="s">
        <v>788</v>
      </c>
      <c r="E130" s="245">
        <v>3.1687255525970695E-2</v>
      </c>
      <c r="F130" s="243">
        <f t="shared" si="10"/>
        <v>3.6711415616502444E-2</v>
      </c>
      <c r="G130" s="38"/>
      <c r="H130" s="226">
        <v>1</v>
      </c>
      <c r="I130" s="227">
        <f t="shared" si="11"/>
        <v>4.2547475378560032E-2</v>
      </c>
      <c r="J130" s="38"/>
    </row>
    <row r="131" spans="1:10" x14ac:dyDescent="0.15">
      <c r="A131" t="s">
        <v>129</v>
      </c>
      <c r="B131" t="s">
        <v>156</v>
      </c>
      <c r="C131" s="189" t="s">
        <v>432</v>
      </c>
      <c r="D131" s="207" t="s">
        <v>788</v>
      </c>
      <c r="E131" s="245">
        <v>3.1882243769268521E-3</v>
      </c>
      <c r="F131" s="243">
        <f t="shared" si="10"/>
        <v>3.6937320142508847E-3</v>
      </c>
      <c r="G131" s="38"/>
      <c r="H131" s="226">
        <v>1</v>
      </c>
      <c r="I131" s="227">
        <f t="shared" si="11"/>
        <v>4.2809292230260023E-3</v>
      </c>
      <c r="J131" s="38"/>
    </row>
    <row r="132" spans="1:10" x14ac:dyDescent="0.15">
      <c r="A132" s="8" t="s">
        <v>129</v>
      </c>
      <c r="B132" s="8" t="s">
        <v>157</v>
      </c>
      <c r="C132" s="268" t="s">
        <v>429</v>
      </c>
      <c r="D132" s="448" t="s">
        <v>788</v>
      </c>
      <c r="E132" s="244">
        <v>2.9627355422911051E-2</v>
      </c>
      <c r="F132" s="246">
        <f t="shared" si="10"/>
        <v>3.4324908878804079E-2</v>
      </c>
      <c r="G132" s="39"/>
      <c r="H132" s="228">
        <v>1</v>
      </c>
      <c r="I132" s="229">
        <f t="shared" si="11"/>
        <v>3.9781582673040258E-2</v>
      </c>
      <c r="J132" s="39"/>
    </row>
    <row r="133" spans="1:10" x14ac:dyDescent="0.15">
      <c r="A133" s="15" t="s">
        <v>7</v>
      </c>
      <c r="B133" t="s">
        <v>188</v>
      </c>
      <c r="C133" s="189" t="s">
        <v>1009</v>
      </c>
      <c r="D133" s="207" t="s">
        <v>788</v>
      </c>
      <c r="E133" s="245">
        <v>0.19006931550897477</v>
      </c>
      <c r="F133" s="243">
        <f>E133/SUM(E$133:E$139)</f>
        <v>0.2797800075741369</v>
      </c>
      <c r="G133" s="38"/>
      <c r="H133" s="226">
        <v>1</v>
      </c>
      <c r="I133" s="227">
        <f>H133*(F133/SUMPRODUCT(H$133:H$139,F$133:F$139))</f>
        <v>0.2797800075741369</v>
      </c>
      <c r="J133" s="100"/>
    </row>
    <row r="134" spans="1:10" x14ac:dyDescent="0.15">
      <c r="A134" s="15" t="s">
        <v>7</v>
      </c>
      <c r="B134" t="s">
        <v>188</v>
      </c>
      <c r="C134" s="189" t="s">
        <v>1010</v>
      </c>
      <c r="D134" s="207" t="s">
        <v>788</v>
      </c>
      <c r="E134" s="245">
        <v>0.21797255307285424</v>
      </c>
      <c r="F134" s="243">
        <f t="shared" ref="F134:F139" si="12">E134/SUM(E$133:E$139)</f>
        <v>0.32085327600812835</v>
      </c>
      <c r="G134" s="38"/>
      <c r="H134" s="226">
        <v>1</v>
      </c>
      <c r="I134" s="227">
        <f t="shared" ref="I134:I139" si="13">H134*(F134/SUMPRODUCT(H$133:H$139,F$133:F$139))</f>
        <v>0.32085327600812835</v>
      </c>
      <c r="J134" s="38"/>
    </row>
    <row r="135" spans="1:10" x14ac:dyDescent="0.15">
      <c r="A135" s="15" t="s">
        <v>7</v>
      </c>
      <c r="B135" t="s">
        <v>188</v>
      </c>
      <c r="C135" s="189" t="s">
        <v>1011</v>
      </c>
      <c r="D135" s="207" t="s">
        <v>788</v>
      </c>
      <c r="E135" s="245">
        <v>7.9126883334562956E-2</v>
      </c>
      <c r="F135" s="243">
        <f t="shared" si="12"/>
        <v>0.11647392931036543</v>
      </c>
      <c r="G135" s="38"/>
      <c r="H135" s="226">
        <v>1</v>
      </c>
      <c r="I135" s="227">
        <f t="shared" si="13"/>
        <v>0.11647392931036543</v>
      </c>
      <c r="J135" s="38"/>
    </row>
    <row r="136" spans="1:10" x14ac:dyDescent="0.15">
      <c r="A136" s="15" t="s">
        <v>7</v>
      </c>
      <c r="B136" t="s">
        <v>188</v>
      </c>
      <c r="C136" s="189" t="s">
        <v>1012</v>
      </c>
      <c r="D136" s="207" t="s">
        <v>788</v>
      </c>
      <c r="E136" s="245">
        <v>9.7094435056427272E-2</v>
      </c>
      <c r="F136" s="243">
        <f t="shared" si="12"/>
        <v>0.14292197403221074</v>
      </c>
      <c r="G136" s="38"/>
      <c r="H136" s="226">
        <v>1</v>
      </c>
      <c r="I136" s="227">
        <f t="shared" si="13"/>
        <v>0.14292197403221074</v>
      </c>
      <c r="J136" s="38"/>
    </row>
    <row r="137" spans="1:10" x14ac:dyDescent="0.15">
      <c r="A137" s="15" t="s">
        <v>7</v>
      </c>
      <c r="B137" t="s">
        <v>188</v>
      </c>
      <c r="C137" s="189" t="s">
        <v>1013</v>
      </c>
      <c r="D137" s="207" t="s">
        <v>788</v>
      </c>
      <c r="E137" s="245">
        <v>7.591503673591596E-3</v>
      </c>
      <c r="F137" s="243">
        <f t="shared" si="12"/>
        <v>1.1174612533374727E-2</v>
      </c>
      <c r="G137" s="38"/>
      <c r="H137" s="226">
        <v>1</v>
      </c>
      <c r="I137" s="227">
        <f t="shared" si="13"/>
        <v>1.1174612533374727E-2</v>
      </c>
      <c r="J137" s="38"/>
    </row>
    <row r="138" spans="1:10" x14ac:dyDescent="0.15">
      <c r="A138" s="15" t="s">
        <v>7</v>
      </c>
      <c r="B138" t="s">
        <v>188</v>
      </c>
      <c r="C138" s="189" t="s">
        <v>1014</v>
      </c>
      <c r="D138" s="207" t="s">
        <v>788</v>
      </c>
      <c r="E138" s="245">
        <v>4.3256900606295556E-2</v>
      </c>
      <c r="F138" s="243">
        <f t="shared" si="12"/>
        <v>6.3673696866086732E-2</v>
      </c>
      <c r="G138" s="38"/>
      <c r="H138" s="226">
        <v>1</v>
      </c>
      <c r="I138" s="227">
        <f t="shared" si="13"/>
        <v>6.3673696866086732E-2</v>
      </c>
      <c r="J138" s="38"/>
    </row>
    <row r="139" spans="1:10" x14ac:dyDescent="0.15">
      <c r="A139" s="15" t="s">
        <v>7</v>
      </c>
      <c r="B139" t="s">
        <v>164</v>
      </c>
      <c r="C139" s="189" t="s">
        <v>164</v>
      </c>
      <c r="D139" s="207" t="s">
        <v>788</v>
      </c>
      <c r="E139" s="245">
        <v>4.4241151486103109E-2</v>
      </c>
      <c r="F139" s="243">
        <f t="shared" si="12"/>
        <v>6.5122503675697233E-2</v>
      </c>
      <c r="G139" s="38"/>
      <c r="H139" s="226">
        <v>1</v>
      </c>
      <c r="I139" s="227">
        <f t="shared" si="13"/>
        <v>6.5122503675697233E-2</v>
      </c>
      <c r="J139" s="39"/>
    </row>
    <row r="140" spans="1:10" x14ac:dyDescent="0.15">
      <c r="A140" s="63" t="s">
        <v>7</v>
      </c>
      <c r="B140" s="48" t="s">
        <v>189</v>
      </c>
      <c r="C140" s="269" t="s">
        <v>165</v>
      </c>
      <c r="D140" s="450" t="s">
        <v>788</v>
      </c>
      <c r="E140" s="694">
        <v>0.24187832093191217</v>
      </c>
      <c r="F140" s="695">
        <f>E140/SUM(E$140:E$161)</f>
        <v>0.24104443157842798</v>
      </c>
      <c r="G140" s="100"/>
      <c r="H140" s="231">
        <v>1</v>
      </c>
      <c r="I140" s="232">
        <f>H140*(F140/SUMPRODUCT(H$140:H$161,F$140:F$161))</f>
        <v>0.24104443157842786</v>
      </c>
      <c r="J140" s="100"/>
    </row>
    <row r="141" spans="1:10" x14ac:dyDescent="0.15">
      <c r="A141" s="15" t="s">
        <v>7</v>
      </c>
      <c r="B141" t="s">
        <v>190</v>
      </c>
      <c r="C141" s="189" t="s">
        <v>166</v>
      </c>
      <c r="D141" s="207" t="s">
        <v>788</v>
      </c>
      <c r="E141" s="245">
        <v>2.7778061564614598E-2</v>
      </c>
      <c r="F141" s="718">
        <f t="shared" ref="F141:F161" si="14">E141/SUM(E$140:E$161)</f>
        <v>2.768229510770389E-2</v>
      </c>
      <c r="G141" s="38"/>
      <c r="H141" s="226">
        <v>1</v>
      </c>
      <c r="I141" s="227">
        <f t="shared" ref="I141:I161" si="15">H141*(F141/SUMPRODUCT(H$140:H$161,F$140:F$161))</f>
        <v>2.7682295107703876E-2</v>
      </c>
      <c r="J141" s="38"/>
    </row>
    <row r="142" spans="1:10" x14ac:dyDescent="0.15">
      <c r="A142" s="15" t="s">
        <v>7</v>
      </c>
      <c r="B142" t="s">
        <v>190</v>
      </c>
      <c r="C142" s="189" t="s">
        <v>167</v>
      </c>
      <c r="D142" s="207" t="s">
        <v>788</v>
      </c>
      <c r="E142" s="245">
        <v>6.7250820143018343E-3</v>
      </c>
      <c r="F142" s="718">
        <f t="shared" si="14"/>
        <v>6.7018969091984593E-3</v>
      </c>
      <c r="G142" s="38"/>
      <c r="H142" s="226">
        <v>1</v>
      </c>
      <c r="I142" s="227">
        <f t="shared" si="15"/>
        <v>6.7018969091984567E-3</v>
      </c>
      <c r="J142" s="38"/>
    </row>
    <row r="143" spans="1:10" x14ac:dyDescent="0.15">
      <c r="A143" s="15" t="s">
        <v>7</v>
      </c>
      <c r="B143" t="s">
        <v>190</v>
      </c>
      <c r="C143" s="189" t="s">
        <v>168</v>
      </c>
      <c r="D143" s="207" t="s">
        <v>788</v>
      </c>
      <c r="E143" s="245">
        <v>1.6386327821305915E-2</v>
      </c>
      <c r="F143" s="718">
        <f t="shared" si="14"/>
        <v>1.6329835018394755E-2</v>
      </c>
      <c r="G143" s="38"/>
      <c r="H143" s="226">
        <v>1</v>
      </c>
      <c r="I143" s="227">
        <f t="shared" si="15"/>
        <v>1.6329835018394748E-2</v>
      </c>
      <c r="J143" s="38"/>
    </row>
    <row r="144" spans="1:10" x14ac:dyDescent="0.15">
      <c r="A144" s="15" t="s">
        <v>7</v>
      </c>
      <c r="B144" t="s">
        <v>190</v>
      </c>
      <c r="C144" s="189" t="s">
        <v>169</v>
      </c>
      <c r="D144" s="207" t="s">
        <v>788</v>
      </c>
      <c r="E144" s="245">
        <v>0.2566609963537077</v>
      </c>
      <c r="F144" s="718">
        <f t="shared" si="14"/>
        <v>0.25577614288073258</v>
      </c>
      <c r="G144" s="38"/>
      <c r="H144" s="226">
        <v>1</v>
      </c>
      <c r="I144" s="227">
        <f t="shared" si="15"/>
        <v>0.25577614288073247</v>
      </c>
      <c r="J144" s="38"/>
    </row>
    <row r="145" spans="1:10" x14ac:dyDescent="0.15">
      <c r="A145" s="15" t="s">
        <v>7</v>
      </c>
      <c r="B145" t="s">
        <v>190</v>
      </c>
      <c r="C145" s="189" t="s">
        <v>170</v>
      </c>
      <c r="D145" s="207" t="s">
        <v>788</v>
      </c>
      <c r="E145" s="245">
        <v>6.954847780706771E-3</v>
      </c>
      <c r="F145" s="718">
        <f t="shared" si="14"/>
        <v>6.930870544974814E-3</v>
      </c>
      <c r="G145" s="38"/>
      <c r="H145" s="226">
        <v>1</v>
      </c>
      <c r="I145" s="227">
        <f t="shared" si="15"/>
        <v>6.9308705449748105E-3</v>
      </c>
      <c r="J145" s="38"/>
    </row>
    <row r="146" spans="1:10" x14ac:dyDescent="0.15">
      <c r="A146" s="15" t="s">
        <v>7</v>
      </c>
      <c r="B146" t="s">
        <v>191</v>
      </c>
      <c r="C146" s="189" t="s">
        <v>171</v>
      </c>
      <c r="D146" s="207" t="s">
        <v>788</v>
      </c>
      <c r="E146" s="245">
        <v>2.9832861618881198E-2</v>
      </c>
      <c r="F146" s="718">
        <f t="shared" si="14"/>
        <v>2.9730011121192508E-2</v>
      </c>
      <c r="G146" s="38"/>
      <c r="H146" s="226">
        <v>1</v>
      </c>
      <c r="I146" s="227">
        <f t="shared" si="15"/>
        <v>2.9730011121192494E-2</v>
      </c>
      <c r="J146" s="38"/>
    </row>
    <row r="147" spans="1:10" x14ac:dyDescent="0.15">
      <c r="A147" s="15" t="s">
        <v>7</v>
      </c>
      <c r="B147" t="s">
        <v>191</v>
      </c>
      <c r="C147" s="189" t="s">
        <v>172</v>
      </c>
      <c r="D147" s="207" t="s">
        <v>788</v>
      </c>
      <c r="E147" s="245">
        <v>6.0034014135567487E-4</v>
      </c>
      <c r="F147" s="718">
        <f t="shared" si="14"/>
        <v>5.9827043436243591E-4</v>
      </c>
      <c r="G147" s="38"/>
      <c r="H147" s="226">
        <v>1</v>
      </c>
      <c r="I147" s="227">
        <f t="shared" si="15"/>
        <v>5.982704343624357E-4</v>
      </c>
      <c r="J147" s="38"/>
    </row>
    <row r="148" spans="1:10" x14ac:dyDescent="0.15">
      <c r="A148" s="15" t="s">
        <v>7</v>
      </c>
      <c r="B148" t="s">
        <v>191</v>
      </c>
      <c r="C148" s="189" t="s">
        <v>173</v>
      </c>
      <c r="D148" s="207" t="s">
        <v>788</v>
      </c>
      <c r="E148" s="245">
        <v>8.3844851531632725E-3</v>
      </c>
      <c r="F148" s="718">
        <f t="shared" si="14"/>
        <v>8.3555791607753185E-3</v>
      </c>
      <c r="G148" s="38"/>
      <c r="H148" s="226">
        <v>1</v>
      </c>
      <c r="I148" s="227">
        <f t="shared" si="15"/>
        <v>8.3555791607753151E-3</v>
      </c>
      <c r="J148" s="38"/>
    </row>
    <row r="149" spans="1:10" x14ac:dyDescent="0.15">
      <c r="A149" s="15" t="s">
        <v>7</v>
      </c>
      <c r="B149" t="s">
        <v>191</v>
      </c>
      <c r="C149" s="189" t="s">
        <v>174</v>
      </c>
      <c r="D149" s="207" t="s">
        <v>788</v>
      </c>
      <c r="E149" s="245">
        <v>4.6908022361647249E-3</v>
      </c>
      <c r="F149" s="718">
        <f t="shared" si="14"/>
        <v>4.6746304270130533E-3</v>
      </c>
      <c r="G149" s="38"/>
      <c r="H149" s="226">
        <v>1</v>
      </c>
      <c r="I149" s="227">
        <f t="shared" si="15"/>
        <v>4.6746304270130516E-3</v>
      </c>
      <c r="J149" s="38"/>
    </row>
    <row r="150" spans="1:10" x14ac:dyDescent="0.15">
      <c r="A150" s="15" t="s">
        <v>7</v>
      </c>
      <c r="B150" t="s">
        <v>191</v>
      </c>
      <c r="C150" s="189" t="s">
        <v>175</v>
      </c>
      <c r="D150" s="207" t="s">
        <v>788</v>
      </c>
      <c r="E150" s="245">
        <v>0.11099962457723628</v>
      </c>
      <c r="F150" s="718">
        <f t="shared" si="14"/>
        <v>0.11061694701928451</v>
      </c>
      <c r="G150" s="38"/>
      <c r="H150" s="226">
        <v>1</v>
      </c>
      <c r="I150" s="227">
        <f t="shared" si="15"/>
        <v>0.11061694701928446</v>
      </c>
      <c r="J150" s="38"/>
    </row>
    <row r="151" spans="1:10" x14ac:dyDescent="0.15">
      <c r="A151" s="15" t="s">
        <v>7</v>
      </c>
      <c r="B151" t="s">
        <v>192</v>
      </c>
      <c r="C151" s="189" t="s">
        <v>176</v>
      </c>
      <c r="D151" s="207" t="s">
        <v>788</v>
      </c>
      <c r="E151" s="245">
        <v>2.2322541541188509E-3</v>
      </c>
      <c r="F151" s="718">
        <f t="shared" si="14"/>
        <v>2.2245583301763877E-3</v>
      </c>
      <c r="G151" s="38"/>
      <c r="H151" s="226">
        <v>1</v>
      </c>
      <c r="I151" s="227">
        <f t="shared" si="15"/>
        <v>2.2245583301763868E-3</v>
      </c>
      <c r="J151" s="38"/>
    </row>
    <row r="152" spans="1:10" x14ac:dyDescent="0.15">
      <c r="A152" s="15" t="s">
        <v>7</v>
      </c>
      <c r="B152" t="s">
        <v>192</v>
      </c>
      <c r="C152" s="189" t="s">
        <v>177</v>
      </c>
      <c r="D152" s="207" t="s">
        <v>788</v>
      </c>
      <c r="E152" s="245">
        <v>2.6189194155956563E-3</v>
      </c>
      <c r="F152" s="718">
        <f t="shared" si="14"/>
        <v>2.6098905410363981E-3</v>
      </c>
      <c r="G152" s="38"/>
      <c r="H152" s="226">
        <v>1</v>
      </c>
      <c r="I152" s="227">
        <f t="shared" si="15"/>
        <v>2.6098905410363968E-3</v>
      </c>
      <c r="J152" s="38"/>
    </row>
    <row r="153" spans="1:10" x14ac:dyDescent="0.15">
      <c r="A153" s="15" t="s">
        <v>7</v>
      </c>
      <c r="B153" t="s">
        <v>193</v>
      </c>
      <c r="C153" s="189" t="s">
        <v>178</v>
      </c>
      <c r="D153" s="207" t="s">
        <v>788</v>
      </c>
      <c r="E153" s="245">
        <v>5.7695252481461852E-2</v>
      </c>
      <c r="F153" s="718">
        <f t="shared" si="14"/>
        <v>5.749634479678177E-2</v>
      </c>
      <c r="G153" s="38"/>
      <c r="H153" s="226">
        <v>1</v>
      </c>
      <c r="I153" s="227">
        <f t="shared" si="15"/>
        <v>5.7496344796781743E-2</v>
      </c>
      <c r="J153" s="38"/>
    </row>
    <row r="154" spans="1:10" x14ac:dyDescent="0.15">
      <c r="A154" s="15" t="s">
        <v>7</v>
      </c>
      <c r="B154" t="s">
        <v>193</v>
      </c>
      <c r="C154" s="189" t="s">
        <v>179</v>
      </c>
      <c r="D154" s="207" t="s">
        <v>788</v>
      </c>
      <c r="E154" s="245">
        <v>2.7958926798796441E-2</v>
      </c>
      <c r="F154" s="718">
        <f t="shared" si="14"/>
        <v>2.7862536798640442E-2</v>
      </c>
      <c r="G154" s="38"/>
      <c r="H154" s="226">
        <v>1</v>
      </c>
      <c r="I154" s="227">
        <f t="shared" si="15"/>
        <v>2.7862536798640428E-2</v>
      </c>
      <c r="J154" s="38"/>
    </row>
    <row r="155" spans="1:10" x14ac:dyDescent="0.15">
      <c r="A155" s="15" t="s">
        <v>7</v>
      </c>
      <c r="B155" t="s">
        <v>193</v>
      </c>
      <c r="C155" s="189" t="s">
        <v>175</v>
      </c>
      <c r="D155" s="207" t="s">
        <v>788</v>
      </c>
      <c r="E155" s="245">
        <v>1.764757236538482E-2</v>
      </c>
      <c r="F155" s="718">
        <f t="shared" si="14"/>
        <v>1.758673134973018E-2</v>
      </c>
      <c r="G155" s="38"/>
      <c r="H155" s="226">
        <v>1</v>
      </c>
      <c r="I155" s="227">
        <f t="shared" si="15"/>
        <v>1.7586731349730173E-2</v>
      </c>
      <c r="J155" s="38"/>
    </row>
    <row r="156" spans="1:10" x14ac:dyDescent="0.15">
      <c r="A156" s="15" t="s">
        <v>7</v>
      </c>
      <c r="B156" t="s">
        <v>194</v>
      </c>
      <c r="C156" s="189" t="s">
        <v>180</v>
      </c>
      <c r="D156" s="207" t="s">
        <v>788</v>
      </c>
      <c r="E156" s="245">
        <v>1.0738543452747976E-2</v>
      </c>
      <c r="F156" s="718">
        <f t="shared" si="14"/>
        <v>1.0701521709655529E-2</v>
      </c>
      <c r="G156" s="38"/>
      <c r="H156" s="226">
        <v>1</v>
      </c>
      <c r="I156" s="227">
        <f t="shared" si="15"/>
        <v>1.0701521709655524E-2</v>
      </c>
      <c r="J156" s="38"/>
    </row>
    <row r="157" spans="1:10" x14ac:dyDescent="0.15">
      <c r="A157" s="15" t="s">
        <v>7</v>
      </c>
      <c r="B157" t="s">
        <v>194</v>
      </c>
      <c r="C157" s="189" t="s">
        <v>181</v>
      </c>
      <c r="D157" s="207" t="s">
        <v>788</v>
      </c>
      <c r="E157" s="245">
        <v>4.4939111335420756E-3</v>
      </c>
      <c r="F157" s="718">
        <f t="shared" si="14"/>
        <v>4.4784181177342647E-3</v>
      </c>
      <c r="G157" s="38"/>
      <c r="H157" s="226">
        <v>1</v>
      </c>
      <c r="I157" s="227">
        <f t="shared" si="15"/>
        <v>4.4784181177342629E-3</v>
      </c>
      <c r="J157" s="38"/>
    </row>
    <row r="158" spans="1:10" x14ac:dyDescent="0.15">
      <c r="A158" s="15" t="s">
        <v>7</v>
      </c>
      <c r="B158" t="s">
        <v>194</v>
      </c>
      <c r="C158" s="189" t="s">
        <v>182</v>
      </c>
      <c r="D158" s="207" t="s">
        <v>788</v>
      </c>
      <c r="E158" s="245">
        <v>3.4020640150422228E-2</v>
      </c>
      <c r="F158" s="718">
        <f t="shared" si="14"/>
        <v>3.3903352046590306E-2</v>
      </c>
      <c r="G158" s="38"/>
      <c r="H158" s="226">
        <v>1</v>
      </c>
      <c r="I158" s="227">
        <f t="shared" si="15"/>
        <v>3.3903352046590292E-2</v>
      </c>
      <c r="J158" s="38"/>
    </row>
    <row r="159" spans="1:10" x14ac:dyDescent="0.15">
      <c r="A159" s="15" t="s">
        <v>7</v>
      </c>
      <c r="B159" t="s">
        <v>195</v>
      </c>
      <c r="C159" s="189" t="s">
        <v>183</v>
      </c>
      <c r="D159" s="207" t="s">
        <v>788</v>
      </c>
      <c r="E159" s="245">
        <v>2.0951612273332402E-3</v>
      </c>
      <c r="F159" s="718">
        <f t="shared" si="14"/>
        <v>2.0879380391013447E-3</v>
      </c>
      <c r="G159" s="38"/>
      <c r="H159" s="226">
        <v>1</v>
      </c>
      <c r="I159" s="227">
        <f t="shared" si="15"/>
        <v>2.0879380391013438E-3</v>
      </c>
      <c r="J159" s="38"/>
    </row>
    <row r="160" spans="1:10" x14ac:dyDescent="0.15">
      <c r="A160" s="15" t="s">
        <v>7</v>
      </c>
      <c r="B160" t="s">
        <v>195</v>
      </c>
      <c r="C160" s="189" t="s">
        <v>184</v>
      </c>
      <c r="D160" s="207" t="s">
        <v>788</v>
      </c>
      <c r="E160" s="245">
        <v>0.12312161446452112</v>
      </c>
      <c r="F160" s="718">
        <f t="shared" si="14"/>
        <v>0.12269714565272277</v>
      </c>
      <c r="G160" s="38"/>
      <c r="H160" s="226">
        <v>1</v>
      </c>
      <c r="I160" s="227">
        <f t="shared" si="15"/>
        <v>0.12269714565272272</v>
      </c>
      <c r="J160" s="38"/>
    </row>
    <row r="161" spans="1:10" x14ac:dyDescent="0.15">
      <c r="A161" s="15" t="s">
        <v>7</v>
      </c>
      <c r="B161" t="s">
        <v>195</v>
      </c>
      <c r="C161" s="189" t="s">
        <v>185</v>
      </c>
      <c r="D161" s="207" t="s">
        <v>788</v>
      </c>
      <c r="E161" s="245">
        <v>9.9449381591973484E-3</v>
      </c>
      <c r="F161" s="718">
        <f t="shared" si="14"/>
        <v>9.910652415770398E-3</v>
      </c>
      <c r="G161" s="38"/>
      <c r="H161" s="226">
        <v>1</v>
      </c>
      <c r="I161" s="227">
        <f t="shared" si="15"/>
        <v>9.9106524157703928E-3</v>
      </c>
      <c r="J161" s="38"/>
    </row>
    <row r="162" spans="1:10" s="308" customFormat="1" x14ac:dyDescent="0.15">
      <c r="A162" s="365" t="s">
        <v>720</v>
      </c>
      <c r="B162" s="365" t="s">
        <v>718</v>
      </c>
      <c r="C162" s="377" t="s">
        <v>719</v>
      </c>
      <c r="D162" s="449" t="s">
        <v>788</v>
      </c>
      <c r="E162" s="379" t="s">
        <v>63</v>
      </c>
      <c r="F162" s="447" t="s">
        <v>787</v>
      </c>
      <c r="G162" s="749"/>
      <c r="H162" s="750">
        <v>1</v>
      </c>
      <c r="I162" s="751" t="s">
        <v>68</v>
      </c>
      <c r="J162" s="554" t="s">
        <v>1274</v>
      </c>
    </row>
    <row r="163" spans="1:10" s="308" customFormat="1" x14ac:dyDescent="0.15">
      <c r="A163" s="405" t="s">
        <v>723</v>
      </c>
      <c r="B163" s="405" t="s">
        <v>721</v>
      </c>
      <c r="C163" s="406" t="s">
        <v>722</v>
      </c>
      <c r="D163" s="406" t="s">
        <v>789</v>
      </c>
      <c r="E163" s="407" t="s">
        <v>63</v>
      </c>
      <c r="F163" s="447" t="s">
        <v>787</v>
      </c>
      <c r="G163" s="380"/>
      <c r="H163" s="378">
        <v>1</v>
      </c>
      <c r="I163" s="446" t="s">
        <v>68</v>
      </c>
      <c r="J163" s="560" t="s">
        <v>1274</v>
      </c>
    </row>
    <row r="164" spans="1:10" x14ac:dyDescent="0.15">
      <c r="A164" s="63" t="s">
        <v>354</v>
      </c>
      <c r="B164" s="48" t="s">
        <v>94</v>
      </c>
      <c r="C164" s="269" t="s">
        <v>517</v>
      </c>
      <c r="D164" s="450" t="s">
        <v>788</v>
      </c>
      <c r="E164" s="245">
        <v>9.2730543925977127E-2</v>
      </c>
      <c r="F164" s="243">
        <f>E164/SUM(E$164:E$165)</f>
        <v>0.8669464142747707</v>
      </c>
      <c r="G164" s="100"/>
      <c r="H164" s="231">
        <v>1</v>
      </c>
      <c r="I164" s="232">
        <f>H164*(F164/SUMPRODUCT(H$164:H$165,F$164:F$165))</f>
        <v>0.8669464142747707</v>
      </c>
      <c r="J164" s="38"/>
    </row>
    <row r="165" spans="1:10" x14ac:dyDescent="0.15">
      <c r="A165" s="25" t="s">
        <v>354</v>
      </c>
      <c r="B165" s="8" t="s">
        <v>95</v>
      </c>
      <c r="C165" s="268" t="s">
        <v>517</v>
      </c>
      <c r="D165" s="448" t="s">
        <v>788</v>
      </c>
      <c r="E165" s="244">
        <v>1.4231711640359459E-2</v>
      </c>
      <c r="F165" s="246">
        <f>E165/SUM(E$164:E$165)</f>
        <v>0.13305358572522941</v>
      </c>
      <c r="G165" s="39"/>
      <c r="H165" s="228">
        <v>1</v>
      </c>
      <c r="I165" s="229">
        <f>H165*(F165/SUMPRODUCT(H$164:H$165,F$164:F$165))</f>
        <v>0.13305358572522941</v>
      </c>
      <c r="J165" s="39"/>
    </row>
    <row r="166" spans="1:10" x14ac:dyDescent="0.15">
      <c r="A166" s="98" t="s">
        <v>354</v>
      </c>
      <c r="B166" s="49" t="s">
        <v>196</v>
      </c>
      <c r="C166" s="197" t="s">
        <v>356</v>
      </c>
      <c r="D166" s="216" t="s">
        <v>789</v>
      </c>
      <c r="E166" s="451">
        <v>1.7700181244183666</v>
      </c>
      <c r="F166" s="452">
        <f>E166/SUM(E$166:E$188)</f>
        <v>0.26549093315509931</v>
      </c>
      <c r="G166" s="38"/>
      <c r="H166" s="233">
        <v>1</v>
      </c>
      <c r="I166" s="458" t="s">
        <v>68</v>
      </c>
      <c r="J166" s="553" t="s">
        <v>1274</v>
      </c>
    </row>
    <row r="167" spans="1:10" x14ac:dyDescent="0.15">
      <c r="A167" s="15" t="s">
        <v>354</v>
      </c>
      <c r="B167" t="s">
        <v>197</v>
      </c>
      <c r="C167" s="189" t="s">
        <v>356</v>
      </c>
      <c r="D167" s="216" t="s">
        <v>789</v>
      </c>
      <c r="E167" s="451">
        <v>7.2240406047473426E-3</v>
      </c>
      <c r="F167" s="452">
        <f t="shared" ref="F167:F188" si="16">E167/SUM(E$166:E$188)</f>
        <v>1.0835579900826911E-3</v>
      </c>
      <c r="G167" s="38"/>
      <c r="H167" s="226">
        <v>1</v>
      </c>
      <c r="I167" s="458" t="s">
        <v>68</v>
      </c>
      <c r="J167" s="540" t="s">
        <v>1274</v>
      </c>
    </row>
    <row r="168" spans="1:10" x14ac:dyDescent="0.15">
      <c r="A168" s="15" t="s">
        <v>354</v>
      </c>
      <c r="B168" t="s">
        <v>198</v>
      </c>
      <c r="C168" s="189" t="s">
        <v>356</v>
      </c>
      <c r="D168" s="216" t="s">
        <v>789</v>
      </c>
      <c r="E168" s="451">
        <v>1.1870560952804841</v>
      </c>
      <c r="F168" s="452">
        <f t="shared" si="16"/>
        <v>0.17805051038504158</v>
      </c>
      <c r="G168" s="38"/>
      <c r="H168" s="226">
        <v>1</v>
      </c>
      <c r="I168" s="458" t="s">
        <v>68</v>
      </c>
      <c r="J168" s="540" t="s">
        <v>1274</v>
      </c>
    </row>
    <row r="169" spans="1:10" x14ac:dyDescent="0.15">
      <c r="A169" s="15" t="s">
        <v>354</v>
      </c>
      <c r="B169" t="s">
        <v>199</v>
      </c>
      <c r="C169" s="189" t="s">
        <v>356</v>
      </c>
      <c r="D169" s="216" t="s">
        <v>789</v>
      </c>
      <c r="E169" s="451">
        <v>1.9356415266295949E-2</v>
      </c>
      <c r="F169" s="452">
        <f t="shared" si="16"/>
        <v>2.9033334069814665E-3</v>
      </c>
      <c r="G169" s="38"/>
      <c r="H169" s="226">
        <v>1</v>
      </c>
      <c r="I169" s="458" t="s">
        <v>68</v>
      </c>
      <c r="J169" s="540" t="s">
        <v>1274</v>
      </c>
    </row>
    <row r="170" spans="1:10" x14ac:dyDescent="0.15">
      <c r="A170" s="15" t="s">
        <v>354</v>
      </c>
      <c r="B170" t="s">
        <v>200</v>
      </c>
      <c r="C170" s="189" t="s">
        <v>356</v>
      </c>
      <c r="D170" s="216" t="s">
        <v>789</v>
      </c>
      <c r="E170" s="451">
        <v>1.5116462047652881</v>
      </c>
      <c r="F170" s="452">
        <f t="shared" si="16"/>
        <v>0.22673686555349731</v>
      </c>
      <c r="G170" s="38"/>
      <c r="H170" s="226">
        <v>1</v>
      </c>
      <c r="I170" s="458" t="s">
        <v>68</v>
      </c>
      <c r="J170" s="540" t="s">
        <v>1274</v>
      </c>
    </row>
    <row r="171" spans="1:10" x14ac:dyDescent="0.15">
      <c r="A171" s="15" t="s">
        <v>354</v>
      </c>
      <c r="B171" t="s">
        <v>201</v>
      </c>
      <c r="C171" s="189" t="s">
        <v>356</v>
      </c>
      <c r="D171" s="216" t="s">
        <v>789</v>
      </c>
      <c r="E171" s="451">
        <v>0.39344139239723813</v>
      </c>
      <c r="F171" s="452">
        <f t="shared" si="16"/>
        <v>5.9013589165200567E-2</v>
      </c>
      <c r="G171" s="38"/>
      <c r="H171" s="226">
        <v>1</v>
      </c>
      <c r="I171" s="458" t="s">
        <v>68</v>
      </c>
      <c r="J171" s="540" t="s">
        <v>1274</v>
      </c>
    </row>
    <row r="172" spans="1:10" x14ac:dyDescent="0.15">
      <c r="A172" s="15" t="s">
        <v>354</v>
      </c>
      <c r="B172" s="5" t="s">
        <v>202</v>
      </c>
      <c r="C172" s="189" t="s">
        <v>1015</v>
      </c>
      <c r="D172" s="216" t="s">
        <v>789</v>
      </c>
      <c r="E172" s="453">
        <v>0.32178904849723372</v>
      </c>
      <c r="F172" s="452">
        <f t="shared" si="16"/>
        <v>4.8266214670934698E-2</v>
      </c>
      <c r="G172" s="38"/>
      <c r="H172" s="226">
        <v>1</v>
      </c>
      <c r="I172" s="227">
        <f>H172*(F172/SUMPRODUCT(H$172:H$178,F$172:F$178))</f>
        <v>0.67267625343316451</v>
      </c>
      <c r="J172" s="38"/>
    </row>
    <row r="173" spans="1:10" x14ac:dyDescent="0.15">
      <c r="A173" s="15" t="s">
        <v>354</v>
      </c>
      <c r="B173" t="s">
        <v>204</v>
      </c>
      <c r="C173" s="189" t="s">
        <v>981</v>
      </c>
      <c r="D173" s="216" t="s">
        <v>789</v>
      </c>
      <c r="E173" s="453">
        <v>7.1825735966143467E-3</v>
      </c>
      <c r="F173" s="452">
        <f t="shared" si="16"/>
        <v>1.0773382149671133E-3</v>
      </c>
      <c r="G173" s="38"/>
      <c r="H173" s="226">
        <v>1</v>
      </c>
      <c r="I173" s="227">
        <f t="shared" ref="I173:I178" si="17">H173*(F173/SUM($F$172:$F$178))</f>
        <v>1.5014639931166095E-2</v>
      </c>
      <c r="J173" s="38"/>
    </row>
    <row r="174" spans="1:10" x14ac:dyDescent="0.15">
      <c r="A174" s="15" t="s">
        <v>354</v>
      </c>
      <c r="B174" t="s">
        <v>205</v>
      </c>
      <c r="C174" s="316" t="s">
        <v>981</v>
      </c>
      <c r="D174" s="216" t="s">
        <v>789</v>
      </c>
      <c r="E174" s="453">
        <v>7.3342267972780787E-3</v>
      </c>
      <c r="F174" s="452">
        <f t="shared" si="16"/>
        <v>1.100085185297376E-3</v>
      </c>
      <c r="G174" s="38"/>
      <c r="H174" s="226">
        <v>1</v>
      </c>
      <c r="I174" s="227">
        <f t="shared" si="17"/>
        <v>1.5331659753065051E-2</v>
      </c>
      <c r="J174" s="38"/>
    </row>
    <row r="175" spans="1:10" x14ac:dyDescent="0.15">
      <c r="A175" s="15" t="s">
        <v>354</v>
      </c>
      <c r="B175" t="s">
        <v>206</v>
      </c>
      <c r="C175" s="316" t="s">
        <v>981</v>
      </c>
      <c r="D175" s="216" t="s">
        <v>789</v>
      </c>
      <c r="E175" s="453">
        <v>0.10319688053688258</v>
      </c>
      <c r="F175" s="452">
        <f t="shared" si="16"/>
        <v>1.5478844953316665E-2</v>
      </c>
      <c r="G175" s="38"/>
      <c r="H175" s="226">
        <v>1</v>
      </c>
      <c r="I175" s="227">
        <f t="shared" si="17"/>
        <v>0.21572546141556084</v>
      </c>
      <c r="J175" s="38"/>
    </row>
    <row r="176" spans="1:10" x14ac:dyDescent="0.15">
      <c r="A176" s="15" t="s">
        <v>354</v>
      </c>
      <c r="B176" s="5" t="s">
        <v>203</v>
      </c>
      <c r="C176" s="316" t="s">
        <v>981</v>
      </c>
      <c r="D176" s="216" t="s">
        <v>789</v>
      </c>
      <c r="E176" s="453">
        <v>1.5853365732567595E-2</v>
      </c>
      <c r="F176" s="452">
        <f t="shared" si="16"/>
        <v>2.3778993016647845E-3</v>
      </c>
      <c r="G176" s="38"/>
      <c r="H176" s="226">
        <v>1</v>
      </c>
      <c r="I176" s="227">
        <f t="shared" si="17"/>
        <v>3.3140290867857053E-2</v>
      </c>
      <c r="J176" s="38"/>
    </row>
    <row r="177" spans="1:10" x14ac:dyDescent="0.15">
      <c r="A177" s="15" t="s">
        <v>354</v>
      </c>
      <c r="B177" t="s">
        <v>175</v>
      </c>
      <c r="C177" s="316" t="s">
        <v>981</v>
      </c>
      <c r="D177" s="216" t="s">
        <v>789</v>
      </c>
      <c r="E177" s="453">
        <v>1.1538702365798043E-2</v>
      </c>
      <c r="F177" s="452">
        <f t="shared" si="16"/>
        <v>1.7307285254501694E-3</v>
      </c>
      <c r="G177" s="38"/>
      <c r="H177" s="226">
        <v>1</v>
      </c>
      <c r="I177" s="227">
        <f t="shared" si="17"/>
        <v>2.4120805581026923E-2</v>
      </c>
      <c r="J177" s="38"/>
    </row>
    <row r="178" spans="1:10" x14ac:dyDescent="0.15">
      <c r="A178" s="15" t="s">
        <v>354</v>
      </c>
      <c r="B178" t="s">
        <v>207</v>
      </c>
      <c r="C178" s="316" t="s">
        <v>207</v>
      </c>
      <c r="D178" s="216" t="s">
        <v>789</v>
      </c>
      <c r="E178" s="453">
        <v>1.1476554004033019E-2</v>
      </c>
      <c r="F178" s="452">
        <f t="shared" si="16"/>
        <v>1.7214066849947343E-3</v>
      </c>
      <c r="G178" s="38"/>
      <c r="H178" s="226">
        <v>1</v>
      </c>
      <c r="I178" s="227">
        <f t="shared" si="17"/>
        <v>2.3990889018159607E-2</v>
      </c>
      <c r="J178" s="38"/>
    </row>
    <row r="179" spans="1:10" x14ac:dyDescent="0.15">
      <c r="A179" s="15" t="s">
        <v>354</v>
      </c>
      <c r="B179" t="s">
        <v>208</v>
      </c>
      <c r="C179" s="189" t="s">
        <v>356</v>
      </c>
      <c r="D179" s="216" t="s">
        <v>789</v>
      </c>
      <c r="E179" s="453">
        <v>0.53399710131752998</v>
      </c>
      <c r="F179" s="452">
        <f t="shared" si="16"/>
        <v>8.0096009625605188E-2</v>
      </c>
      <c r="G179" s="38"/>
      <c r="H179" s="226">
        <v>1</v>
      </c>
      <c r="I179" s="458" t="s">
        <v>68</v>
      </c>
      <c r="J179" s="540" t="s">
        <v>1274</v>
      </c>
    </row>
    <row r="180" spans="1:10" x14ac:dyDescent="0.15">
      <c r="A180" s="15" t="s">
        <v>354</v>
      </c>
      <c r="B180" t="s">
        <v>209</v>
      </c>
      <c r="C180" s="316" t="s">
        <v>1016</v>
      </c>
      <c r="D180" s="216" t="s">
        <v>789</v>
      </c>
      <c r="E180" s="453">
        <v>0.47453054447047416</v>
      </c>
      <c r="F180" s="452">
        <f t="shared" si="16"/>
        <v>7.1176422051306462E-2</v>
      </c>
      <c r="G180" s="38"/>
      <c r="H180" s="226">
        <v>1</v>
      </c>
      <c r="I180" s="227">
        <f>H180*(F180/SUMPRODUCT(H$180:H$188,F$180:F$188))</f>
        <v>0.76833503499746358</v>
      </c>
      <c r="J180" s="38"/>
    </row>
    <row r="181" spans="1:10" x14ac:dyDescent="0.15">
      <c r="A181" s="15" t="s">
        <v>354</v>
      </c>
      <c r="B181" t="s">
        <v>210</v>
      </c>
      <c r="C181" s="316" t="s">
        <v>1016</v>
      </c>
      <c r="D181" s="216" t="s">
        <v>789</v>
      </c>
      <c r="E181" s="453">
        <v>4.149353427665424E-2</v>
      </c>
      <c r="F181" s="452">
        <f t="shared" si="16"/>
        <v>6.2237538605046635E-3</v>
      </c>
      <c r="G181" s="38"/>
      <c r="H181" s="226">
        <v>0</v>
      </c>
      <c r="I181" s="227">
        <f t="shared" ref="I181:I188" si="18">H181*(F181/SUMPRODUCT(H$180:H$188,F$180:F$188))</f>
        <v>0</v>
      </c>
      <c r="J181" s="38"/>
    </row>
    <row r="182" spans="1:10" x14ac:dyDescent="0.15">
      <c r="A182" s="15" t="s">
        <v>354</v>
      </c>
      <c r="B182" t="s">
        <v>211</v>
      </c>
      <c r="C182" s="316" t="s">
        <v>1016</v>
      </c>
      <c r="D182" s="216" t="s">
        <v>789</v>
      </c>
      <c r="E182" s="453">
        <v>8.6825114551745283E-2</v>
      </c>
      <c r="F182" s="452">
        <f t="shared" si="16"/>
        <v>1.3023189065488223E-2</v>
      </c>
      <c r="G182" s="38"/>
      <c r="H182" s="226">
        <v>1</v>
      </c>
      <c r="I182" s="227">
        <f t="shared" si="18"/>
        <v>0.1405826836757498</v>
      </c>
      <c r="J182" s="38"/>
    </row>
    <row r="183" spans="1:10" x14ac:dyDescent="0.15">
      <c r="A183" s="15" t="s">
        <v>354</v>
      </c>
      <c r="B183" t="s">
        <v>212</v>
      </c>
      <c r="C183" s="316" t="s">
        <v>1016</v>
      </c>
      <c r="D183" s="216" t="s">
        <v>789</v>
      </c>
      <c r="E183" s="453">
        <v>4.2041334778159583E-3</v>
      </c>
      <c r="F183" s="452">
        <f t="shared" si="16"/>
        <v>6.3059202882497325E-4</v>
      </c>
      <c r="G183" s="38"/>
      <c r="H183" s="226">
        <v>1</v>
      </c>
      <c r="I183" s="227">
        <f t="shared" si="18"/>
        <v>6.8071130097985049E-3</v>
      </c>
      <c r="J183" s="38"/>
    </row>
    <row r="184" spans="1:10" x14ac:dyDescent="0.15">
      <c r="A184" s="15" t="s">
        <v>354</v>
      </c>
      <c r="B184" t="s">
        <v>213</v>
      </c>
      <c r="C184" s="316" t="s">
        <v>1016</v>
      </c>
      <c r="D184" s="216" t="s">
        <v>789</v>
      </c>
      <c r="E184" s="453">
        <v>3.3331002672781905E-2</v>
      </c>
      <c r="F184" s="452">
        <f t="shared" si="16"/>
        <v>4.9994284694117536E-3</v>
      </c>
      <c r="G184" s="38"/>
      <c r="H184" s="226">
        <v>0</v>
      </c>
      <c r="I184" s="227">
        <f t="shared" si="18"/>
        <v>0</v>
      </c>
      <c r="J184" s="540" t="s">
        <v>1308</v>
      </c>
    </row>
    <row r="185" spans="1:10" x14ac:dyDescent="0.15">
      <c r="A185" s="15" t="s">
        <v>354</v>
      </c>
      <c r="B185" t="s">
        <v>214</v>
      </c>
      <c r="C185" s="316" t="s">
        <v>1016</v>
      </c>
      <c r="D185" s="216" t="s">
        <v>789</v>
      </c>
      <c r="E185" s="453">
        <v>3.1143803757325898E-2</v>
      </c>
      <c r="F185" s="452">
        <f t="shared" si="16"/>
        <v>4.6713631953620594E-3</v>
      </c>
      <c r="G185" s="38"/>
      <c r="H185" s="226">
        <v>1</v>
      </c>
      <c r="I185" s="227">
        <f t="shared" si="18"/>
        <v>5.0426417916977759E-2</v>
      </c>
      <c r="J185" s="38"/>
    </row>
    <row r="186" spans="1:10" x14ac:dyDescent="0.15">
      <c r="A186" s="15" t="s">
        <v>354</v>
      </c>
      <c r="B186" t="s">
        <v>215</v>
      </c>
      <c r="C186" s="316" t="s">
        <v>1016</v>
      </c>
      <c r="D186" s="216" t="s">
        <v>789</v>
      </c>
      <c r="E186" s="453">
        <v>8.692038828235658E-3</v>
      </c>
      <c r="F186" s="452">
        <f t="shared" si="16"/>
        <v>1.3037479490708289E-3</v>
      </c>
      <c r="G186" s="38"/>
      <c r="H186" s="226">
        <v>1</v>
      </c>
      <c r="I186" s="227">
        <f t="shared" si="18"/>
        <v>1.4073694591660357E-2</v>
      </c>
      <c r="J186" s="38"/>
    </row>
    <row r="187" spans="1:10" x14ac:dyDescent="0.15">
      <c r="A187" s="15" t="s">
        <v>354</v>
      </c>
      <c r="B187" t="s">
        <v>216</v>
      </c>
      <c r="C187" s="316" t="s">
        <v>1016</v>
      </c>
      <c r="D187" s="216" t="s">
        <v>789</v>
      </c>
      <c r="E187" s="453">
        <v>1.2213250173736088E-2</v>
      </c>
      <c r="F187" s="452">
        <f t="shared" si="16"/>
        <v>1.8319062052245202E-3</v>
      </c>
      <c r="G187" s="38"/>
      <c r="H187" s="226">
        <v>1</v>
      </c>
      <c r="I187" s="227">
        <f t="shared" si="18"/>
        <v>1.9775055808349911E-2</v>
      </c>
      <c r="J187" s="38"/>
    </row>
    <row r="188" spans="1:10" x14ac:dyDescent="0.15">
      <c r="A188" s="25" t="s">
        <v>354</v>
      </c>
      <c r="B188" s="8" t="s">
        <v>217</v>
      </c>
      <c r="C188" s="268" t="s">
        <v>1016</v>
      </c>
      <c r="D188" s="454" t="s">
        <v>789</v>
      </c>
      <c r="E188" s="455">
        <v>7.3418461379623143E-2</v>
      </c>
      <c r="F188" s="456">
        <f t="shared" si="16"/>
        <v>1.1012280356673116E-2</v>
      </c>
      <c r="G188" s="39"/>
      <c r="H188" s="228">
        <v>0</v>
      </c>
      <c r="I188" s="229">
        <f t="shared" si="18"/>
        <v>0</v>
      </c>
      <c r="J188" s="309" t="s">
        <v>1281</v>
      </c>
    </row>
    <row r="189" spans="1:10" x14ac:dyDescent="0.15">
      <c r="A189" s="15" t="s">
        <v>8</v>
      </c>
      <c r="B189" t="s">
        <v>218</v>
      </c>
      <c r="D189" s="323" t="s">
        <v>790</v>
      </c>
      <c r="E189" s="453">
        <v>3.7836434899977238</v>
      </c>
      <c r="F189" s="457">
        <f>E189/SUM(E$189,E$214:E$219)</f>
        <v>0.52138543610030996</v>
      </c>
      <c r="G189" s="38"/>
      <c r="H189" s="226">
        <v>1</v>
      </c>
      <c r="I189" s="227">
        <f>H189*(F189/(SUMPRODUCT(H$189,F$189)+SUMPRODUCT(H$214:H$219,F$214:F$219)))</f>
        <v>0.52138543610030996</v>
      </c>
      <c r="J189" s="37"/>
    </row>
    <row r="190" spans="1:10" x14ac:dyDescent="0.15">
      <c r="A190" s="63" t="s">
        <v>8</v>
      </c>
      <c r="B190" s="48" t="s">
        <v>219</v>
      </c>
      <c r="C190" s="269"/>
      <c r="D190" s="730" t="s">
        <v>790</v>
      </c>
      <c r="E190" s="731">
        <v>2.6114263797171415</v>
      </c>
      <c r="F190" s="732">
        <f>E190/SUM(E$190,E$194:E$196,E$202,E$208)</f>
        <v>4.0509941325100191E-2</v>
      </c>
      <c r="G190" s="100"/>
      <c r="H190" s="231">
        <f>IF(SUM(H191:H193)&gt;0,1,0)</f>
        <v>1</v>
      </c>
      <c r="I190" s="232">
        <f>H190*(F190/SUMPRODUCT(H$190:H$213,F$190:F$213))</f>
        <v>4.2421255665917985E-2</v>
      </c>
      <c r="J190" s="100"/>
    </row>
    <row r="191" spans="1:10" s="308" customFormat="1" x14ac:dyDescent="0.15">
      <c r="A191" s="15"/>
      <c r="B191" s="72" t="s">
        <v>743</v>
      </c>
      <c r="C191" s="316"/>
      <c r="D191" s="286"/>
      <c r="E191" s="453"/>
      <c r="F191" s="457"/>
      <c r="G191" s="38"/>
      <c r="H191" s="744">
        <v>1</v>
      </c>
      <c r="I191" s="752"/>
      <c r="J191" s="38"/>
    </row>
    <row r="192" spans="1:10" s="308" customFormat="1" x14ac:dyDescent="0.15">
      <c r="A192" s="15"/>
      <c r="B192" s="72" t="s">
        <v>744</v>
      </c>
      <c r="C192" s="316"/>
      <c r="D192" s="286"/>
      <c r="E192" s="292"/>
      <c r="F192" s="457"/>
      <c r="G192" s="38"/>
      <c r="H192" s="744">
        <v>0</v>
      </c>
      <c r="I192" s="752"/>
      <c r="J192" s="540" t="s">
        <v>1275</v>
      </c>
    </row>
    <row r="193" spans="1:10" s="308" customFormat="1" x14ac:dyDescent="0.15">
      <c r="A193" s="15"/>
      <c r="B193" s="72" t="s">
        <v>750</v>
      </c>
      <c r="C193" s="316"/>
      <c r="D193" s="286"/>
      <c r="E193" s="292"/>
      <c r="F193" s="457"/>
      <c r="G193" s="38"/>
      <c r="H193" s="744">
        <v>0</v>
      </c>
      <c r="I193" s="752"/>
      <c r="J193" s="540" t="s">
        <v>1275</v>
      </c>
    </row>
    <row r="194" spans="1:10" x14ac:dyDescent="0.15">
      <c r="A194" s="15" t="s">
        <v>8</v>
      </c>
      <c r="B194" t="s">
        <v>220</v>
      </c>
      <c r="D194" s="323" t="s">
        <v>790</v>
      </c>
      <c r="E194" s="453">
        <v>0.8960276656882824</v>
      </c>
      <c r="F194" s="457">
        <f>E194/SUM(E$190,E$194:E$196,E$202,E$208)</f>
        <v>1.3899694222523117E-2</v>
      </c>
      <c r="G194" s="38"/>
      <c r="H194" s="226">
        <v>0</v>
      </c>
      <c r="I194" s="227">
        <f>H194*(F194/SUMPRODUCT(H$190:H$213,F$190:F$213))</f>
        <v>0</v>
      </c>
      <c r="J194" s="540" t="s">
        <v>1275</v>
      </c>
    </row>
    <row r="195" spans="1:10" x14ac:dyDescent="0.15">
      <c r="A195" s="15" t="s">
        <v>8</v>
      </c>
      <c r="B195" t="s">
        <v>221</v>
      </c>
      <c r="D195" s="323" t="s">
        <v>790</v>
      </c>
      <c r="E195" s="453">
        <v>2.0084281336009129</v>
      </c>
      <c r="F195" s="457">
        <f>E195/SUM(E$190,E$194:E$196,E$202,E$208)</f>
        <v>3.1155887249889148E-2</v>
      </c>
      <c r="G195" s="38"/>
      <c r="H195" s="226">
        <v>0</v>
      </c>
      <c r="I195" s="227">
        <f>H195*(F195/SUMPRODUCT(H$190:H$213,F$190:F$213))</f>
        <v>0</v>
      </c>
      <c r="J195" s="540" t="s">
        <v>1275</v>
      </c>
    </row>
    <row r="196" spans="1:10" x14ac:dyDescent="0.15">
      <c r="A196" s="15" t="s">
        <v>8</v>
      </c>
      <c r="B196" t="s">
        <v>222</v>
      </c>
      <c r="D196" s="323" t="s">
        <v>790</v>
      </c>
      <c r="E196" s="453">
        <v>17.760941934049157</v>
      </c>
      <c r="F196" s="457">
        <f>E196/SUM(E$190,E$194:E$196,E$202,E$208)</f>
        <v>0.2755179013335905</v>
      </c>
      <c r="G196" s="38"/>
      <c r="H196" s="226">
        <f>IF(SUM(H197:H201)&gt;0,1,0)</f>
        <v>1</v>
      </c>
      <c r="I196" s="227">
        <f>H196*(F196/SUMPRODUCT(H$190:H$213,F$190:F$213))</f>
        <v>0.2885172120890625</v>
      </c>
      <c r="J196" s="38"/>
    </row>
    <row r="197" spans="1:10" s="308" customFormat="1" x14ac:dyDescent="0.15">
      <c r="A197" s="15"/>
      <c r="B197" s="72" t="s">
        <v>751</v>
      </c>
      <c r="C197" s="316"/>
      <c r="E197" s="453"/>
      <c r="F197" s="457"/>
      <c r="G197" s="38"/>
      <c r="H197" s="744">
        <v>1</v>
      </c>
      <c r="I197" s="752"/>
      <c r="J197" s="38"/>
    </row>
    <row r="198" spans="1:10" s="308" customFormat="1" x14ac:dyDescent="0.15">
      <c r="A198" s="15"/>
      <c r="B198" s="72" t="s">
        <v>752</v>
      </c>
      <c r="C198" s="316"/>
      <c r="E198" s="292"/>
      <c r="F198" s="457"/>
      <c r="G198" s="38"/>
      <c r="H198" s="744">
        <v>0</v>
      </c>
      <c r="I198" s="752"/>
      <c r="J198" s="540" t="s">
        <v>1276</v>
      </c>
    </row>
    <row r="199" spans="1:10" s="308" customFormat="1" x14ac:dyDescent="0.15">
      <c r="A199" s="15"/>
      <c r="B199" s="72" t="s">
        <v>753</v>
      </c>
      <c r="C199" s="316"/>
      <c r="E199" s="292"/>
      <c r="F199" s="457"/>
      <c r="G199" s="38"/>
      <c r="H199" s="744">
        <v>0</v>
      </c>
      <c r="I199" s="752"/>
      <c r="J199" s="540" t="s">
        <v>1275</v>
      </c>
    </row>
    <row r="200" spans="1:10" s="308" customFormat="1" x14ac:dyDescent="0.15">
      <c r="A200" s="15"/>
      <c r="B200" s="72" t="s">
        <v>754</v>
      </c>
      <c r="C200" s="316"/>
      <c r="D200" s="286"/>
      <c r="E200" s="292"/>
      <c r="F200" s="457"/>
      <c r="G200" s="38"/>
      <c r="H200" s="744">
        <v>0</v>
      </c>
      <c r="I200" s="752"/>
      <c r="J200" s="540" t="s">
        <v>1275</v>
      </c>
    </row>
    <row r="201" spans="1:10" s="308" customFormat="1" x14ac:dyDescent="0.15">
      <c r="A201" s="15"/>
      <c r="B201" s="72" t="s">
        <v>755</v>
      </c>
      <c r="C201" s="316"/>
      <c r="D201" s="286"/>
      <c r="E201" s="292"/>
      <c r="F201" s="457"/>
      <c r="G201" s="38"/>
      <c r="H201" s="744">
        <v>0</v>
      </c>
      <c r="I201" s="752"/>
      <c r="J201" s="540" t="s">
        <v>1275</v>
      </c>
    </row>
    <row r="202" spans="1:10" x14ac:dyDescent="0.15">
      <c r="A202" s="14" t="s">
        <v>8</v>
      </c>
      <c r="B202" s="5" t="s">
        <v>223</v>
      </c>
      <c r="D202" s="323" t="s">
        <v>790</v>
      </c>
      <c r="E202" s="453">
        <v>39.030632407526561</v>
      </c>
      <c r="F202" s="457">
        <f>E202/SUM(E$190,E$194:E$196,E$202,E$208)</f>
        <v>0.60546551914732361</v>
      </c>
      <c r="G202" s="38"/>
      <c r="H202" s="226">
        <f>IF(SUM(H203:H207)&gt;0,1,0)</f>
        <v>1</v>
      </c>
      <c r="I202" s="227">
        <f>H202*(F202/SUMPRODUCT(H$190:H$213,F$190:F$213))</f>
        <v>0.63403220899587054</v>
      </c>
      <c r="J202" s="38"/>
    </row>
    <row r="203" spans="1:10" s="308" customFormat="1" x14ac:dyDescent="0.15">
      <c r="A203" s="311"/>
      <c r="B203" s="413" t="s">
        <v>756</v>
      </c>
      <c r="C203" s="316"/>
      <c r="D203" s="323"/>
      <c r="E203" s="453"/>
      <c r="F203" s="457"/>
      <c r="G203" s="38"/>
      <c r="H203" s="744">
        <v>1</v>
      </c>
      <c r="I203" s="752"/>
      <c r="J203" s="38"/>
    </row>
    <row r="204" spans="1:10" s="308" customFormat="1" x14ac:dyDescent="0.15">
      <c r="A204" s="311"/>
      <c r="B204" s="413" t="s">
        <v>757</v>
      </c>
      <c r="C204" s="316"/>
      <c r="D204" s="286"/>
      <c r="E204" s="453"/>
      <c r="F204" s="457"/>
      <c r="G204" s="38"/>
      <c r="H204" s="744">
        <v>0</v>
      </c>
      <c r="I204" s="752"/>
      <c r="J204" s="540" t="s">
        <v>1276</v>
      </c>
    </row>
    <row r="205" spans="1:10" s="308" customFormat="1" x14ac:dyDescent="0.15">
      <c r="A205" s="311"/>
      <c r="B205" s="413" t="s">
        <v>758</v>
      </c>
      <c r="C205" s="316"/>
      <c r="D205" s="286"/>
      <c r="E205" s="453"/>
      <c r="F205" s="457"/>
      <c r="G205" s="38"/>
      <c r="H205" s="744">
        <v>0</v>
      </c>
      <c r="I205" s="752"/>
      <c r="J205" s="540" t="s">
        <v>1275</v>
      </c>
    </row>
    <row r="206" spans="1:10" s="308" customFormat="1" x14ac:dyDescent="0.15">
      <c r="A206" s="311"/>
      <c r="B206" s="413" t="s">
        <v>759</v>
      </c>
      <c r="C206" s="316"/>
      <c r="D206" s="286"/>
      <c r="E206" s="453"/>
      <c r="F206" s="457"/>
      <c r="G206" s="38"/>
      <c r="H206" s="744">
        <v>1</v>
      </c>
      <c r="I206" s="752"/>
      <c r="J206" s="745"/>
    </row>
    <row r="207" spans="1:10" s="308" customFormat="1" x14ac:dyDescent="0.15">
      <c r="A207" s="311"/>
      <c r="B207" s="413" t="s">
        <v>760</v>
      </c>
      <c r="C207" s="316"/>
      <c r="D207" s="286"/>
      <c r="E207" s="453"/>
      <c r="F207" s="457"/>
      <c r="G207" s="38"/>
      <c r="H207" s="744">
        <v>1</v>
      </c>
      <c r="I207" s="752"/>
      <c r="J207" s="745"/>
    </row>
    <row r="208" spans="1:10" x14ac:dyDescent="0.15">
      <c r="A208" s="14" t="s">
        <v>8</v>
      </c>
      <c r="B208" s="5" t="s">
        <v>224</v>
      </c>
      <c r="D208" s="323" t="s">
        <v>790</v>
      </c>
      <c r="E208" s="453">
        <v>2.1563835714075945</v>
      </c>
      <c r="F208" s="457">
        <f>E208/SUM(E$190,E$194:E$196,E$202,E$208)</f>
        <v>3.3451056721573579E-2</v>
      </c>
      <c r="G208" s="38"/>
      <c r="H208" s="226">
        <f>IF(SUM(H209:H213)&gt;0,1,0)</f>
        <v>1</v>
      </c>
      <c r="I208" s="227">
        <f>H208*(F208/SUMPRODUCT(H$190:H$213,F$190:F$213))</f>
        <v>3.5029323249149077E-2</v>
      </c>
      <c r="J208" s="38"/>
    </row>
    <row r="209" spans="1:10" s="308" customFormat="1" x14ac:dyDescent="0.15">
      <c r="A209" s="311"/>
      <c r="B209" s="413" t="s">
        <v>745</v>
      </c>
      <c r="C209" s="316"/>
      <c r="D209" s="286"/>
      <c r="E209" s="453"/>
      <c r="F209" s="457"/>
      <c r="G209" s="38"/>
      <c r="H209" s="744">
        <v>1</v>
      </c>
      <c r="I209" s="752"/>
      <c r="J209" s="38"/>
    </row>
    <row r="210" spans="1:10" s="308" customFormat="1" x14ac:dyDescent="0.15">
      <c r="A210" s="311"/>
      <c r="B210" s="413" t="s">
        <v>746</v>
      </c>
      <c r="C210" s="316"/>
      <c r="D210" s="286"/>
      <c r="E210" s="292"/>
      <c r="F210" s="457"/>
      <c r="G210" s="38"/>
      <c r="H210" s="744">
        <v>0</v>
      </c>
      <c r="I210" s="752"/>
      <c r="J210" s="540" t="s">
        <v>1276</v>
      </c>
    </row>
    <row r="211" spans="1:10" s="308" customFormat="1" x14ac:dyDescent="0.15">
      <c r="A211" s="311"/>
      <c r="B211" s="72" t="s">
        <v>749</v>
      </c>
      <c r="C211" s="316"/>
      <c r="D211" s="286"/>
      <c r="E211" s="292"/>
      <c r="F211" s="457"/>
      <c r="G211" s="38"/>
      <c r="H211" s="744">
        <v>0</v>
      </c>
      <c r="I211" s="752"/>
      <c r="J211" s="540" t="s">
        <v>1275</v>
      </c>
    </row>
    <row r="212" spans="1:10" s="308" customFormat="1" x14ac:dyDescent="0.15">
      <c r="A212" s="311"/>
      <c r="B212" s="413" t="s">
        <v>747</v>
      </c>
      <c r="C212" s="316"/>
      <c r="D212" s="286"/>
      <c r="E212" s="453"/>
      <c r="F212" s="457"/>
      <c r="G212" s="38"/>
      <c r="H212" s="744">
        <v>1</v>
      </c>
      <c r="I212" s="752"/>
      <c r="J212" s="745"/>
    </row>
    <row r="213" spans="1:10" s="308" customFormat="1" x14ac:dyDescent="0.15">
      <c r="A213" s="311"/>
      <c r="B213" s="413" t="s">
        <v>748</v>
      </c>
      <c r="C213" s="316"/>
      <c r="D213" s="286"/>
      <c r="E213" s="453"/>
      <c r="F213" s="457"/>
      <c r="G213" s="38"/>
      <c r="H213" s="744">
        <v>1</v>
      </c>
      <c r="I213" s="752"/>
      <c r="J213" s="746"/>
    </row>
    <row r="214" spans="1:10" x14ac:dyDescent="0.15">
      <c r="A214" s="63" t="s">
        <v>8</v>
      </c>
      <c r="B214" s="48" t="s">
        <v>225</v>
      </c>
      <c r="C214" s="269"/>
      <c r="D214" s="730" t="s">
        <v>790</v>
      </c>
      <c r="E214" s="731">
        <v>1.3953713928177596</v>
      </c>
      <c r="F214" s="732">
        <f t="shared" ref="F214:F219" si="19">E214/SUM(E$189,E$214:E$219)</f>
        <v>0.1922819430766777</v>
      </c>
      <c r="G214" s="100"/>
      <c r="H214" s="231">
        <v>1</v>
      </c>
      <c r="I214" s="232">
        <f t="shared" ref="I214:I219" si="20">H214*(F214/(SUMPRODUCT(H$189,F$189)+SUMPRODUCT(H$214:H$219,F$214:F$219)))</f>
        <v>0.1922819430766777</v>
      </c>
      <c r="J214" s="100"/>
    </row>
    <row r="215" spans="1:10" x14ac:dyDescent="0.15">
      <c r="A215" s="15" t="s">
        <v>8</v>
      </c>
      <c r="B215" t="s">
        <v>186</v>
      </c>
      <c r="D215" s="323" t="s">
        <v>790</v>
      </c>
      <c r="E215" s="453">
        <v>0.29586955656577552</v>
      </c>
      <c r="F215" s="457">
        <f t="shared" si="19"/>
        <v>4.0770775097244957E-2</v>
      </c>
      <c r="G215" s="38"/>
      <c r="H215" s="226">
        <v>1</v>
      </c>
      <c r="I215" s="227">
        <f t="shared" si="20"/>
        <v>4.0770775097244957E-2</v>
      </c>
      <c r="J215" s="38"/>
    </row>
    <row r="216" spans="1:10" x14ac:dyDescent="0.15">
      <c r="A216" s="15" t="s">
        <v>8</v>
      </c>
      <c r="B216" t="s">
        <v>226</v>
      </c>
      <c r="D216" s="323" t="s">
        <v>790</v>
      </c>
      <c r="E216" s="453">
        <v>0.39745835952234865</v>
      </c>
      <c r="F216" s="457">
        <f t="shared" si="19"/>
        <v>5.4769695046347558E-2</v>
      </c>
      <c r="G216" s="38"/>
      <c r="H216" s="226">
        <v>1</v>
      </c>
      <c r="I216" s="227">
        <f t="shared" si="20"/>
        <v>5.4769695046347558E-2</v>
      </c>
      <c r="J216" s="38"/>
    </row>
    <row r="217" spans="1:10" x14ac:dyDescent="0.15">
      <c r="A217" s="15" t="s">
        <v>8</v>
      </c>
      <c r="B217" t="s">
        <v>227</v>
      </c>
      <c r="D217" s="323" t="s">
        <v>790</v>
      </c>
      <c r="E217" s="453">
        <v>0.69662757845252177</v>
      </c>
      <c r="F217" s="457">
        <f t="shared" si="19"/>
        <v>9.5995163062043518E-2</v>
      </c>
      <c r="G217" s="38"/>
      <c r="H217" s="226">
        <v>1</v>
      </c>
      <c r="I217" s="227">
        <f t="shared" si="20"/>
        <v>9.5995163062043518E-2</v>
      </c>
      <c r="J217" s="38"/>
    </row>
    <row r="218" spans="1:10" x14ac:dyDescent="0.15">
      <c r="A218" s="15" t="s">
        <v>8</v>
      </c>
      <c r="B218" t="s">
        <v>228</v>
      </c>
      <c r="D218" s="323" t="s">
        <v>790</v>
      </c>
      <c r="E218" s="453">
        <v>0.66953363992009451</v>
      </c>
      <c r="F218" s="457">
        <f t="shared" si="19"/>
        <v>9.2261622892429632E-2</v>
      </c>
      <c r="G218" s="38"/>
      <c r="H218" s="226">
        <v>1</v>
      </c>
      <c r="I218" s="227">
        <f t="shared" si="20"/>
        <v>9.2261622892429632E-2</v>
      </c>
      <c r="J218" s="38"/>
    </row>
    <row r="219" spans="1:10" x14ac:dyDescent="0.15">
      <c r="A219" s="25" t="s">
        <v>8</v>
      </c>
      <c r="B219" s="8" t="s">
        <v>187</v>
      </c>
      <c r="C219" s="268"/>
      <c r="D219" s="454" t="s">
        <v>790</v>
      </c>
      <c r="E219" s="455">
        <v>1.8398895657815672E-2</v>
      </c>
      <c r="F219" s="456">
        <f t="shared" si="19"/>
        <v>2.5353647249466661E-3</v>
      </c>
      <c r="G219" s="39"/>
      <c r="H219" s="228">
        <v>1</v>
      </c>
      <c r="I219" s="229">
        <f t="shared" si="20"/>
        <v>2.5353647249466661E-3</v>
      </c>
      <c r="J219" s="39"/>
    </row>
    <row r="220" spans="1:10" x14ac:dyDescent="0.15">
      <c r="A220" s="15" t="s">
        <v>9</v>
      </c>
      <c r="B220" t="s">
        <v>229</v>
      </c>
      <c r="C220" s="189" t="s">
        <v>63</v>
      </c>
      <c r="D220" s="323" t="s">
        <v>791</v>
      </c>
      <c r="E220" s="453">
        <v>13.345687743823021</v>
      </c>
      <c r="F220" s="457">
        <f>E220/SUM(E$220:E$225)</f>
        <v>0.46167157327534497</v>
      </c>
      <c r="G220" s="38"/>
      <c r="H220" s="226">
        <v>1</v>
      </c>
      <c r="I220" s="227">
        <f t="shared" ref="I220:I225" si="21">H220*(F220/SUMPRODUCT(H$220:H$225,F$220:F$225))</f>
        <v>0.46668795112415146</v>
      </c>
      <c r="J220" s="100"/>
    </row>
    <row r="221" spans="1:10" x14ac:dyDescent="0.15">
      <c r="A221" s="15" t="s">
        <v>9</v>
      </c>
      <c r="B221" t="s">
        <v>230</v>
      </c>
      <c r="C221" s="316" t="s">
        <v>63</v>
      </c>
      <c r="D221" s="323" t="s">
        <v>791</v>
      </c>
      <c r="E221" s="453">
        <v>11.764583458871618</v>
      </c>
      <c r="F221" s="457">
        <f t="shared" ref="F221:F225" si="22">E221/SUM(E$220:E$225)</f>
        <v>0.40697593549648586</v>
      </c>
      <c r="G221" s="38"/>
      <c r="H221" s="226">
        <v>1</v>
      </c>
      <c r="I221" s="227">
        <f t="shared" si="21"/>
        <v>0.41139800777903529</v>
      </c>
      <c r="J221" s="38"/>
    </row>
    <row r="222" spans="1:10" x14ac:dyDescent="0.15">
      <c r="A222" s="15" t="s">
        <v>9</v>
      </c>
      <c r="B222" t="s">
        <v>231</v>
      </c>
      <c r="C222" s="316" t="s">
        <v>63</v>
      </c>
      <c r="D222" s="323" t="s">
        <v>791</v>
      </c>
      <c r="E222" s="453">
        <v>2.8665333567223499</v>
      </c>
      <c r="F222" s="457">
        <f t="shared" si="22"/>
        <v>9.9162889919763783E-2</v>
      </c>
      <c r="G222" s="38"/>
      <c r="H222" s="226">
        <v>1</v>
      </c>
      <c r="I222" s="227">
        <f t="shared" si="21"/>
        <v>0.10024036263676052</v>
      </c>
      <c r="J222" s="38"/>
    </row>
    <row r="223" spans="1:10" x14ac:dyDescent="0.15">
      <c r="A223" s="15" t="s">
        <v>9</v>
      </c>
      <c r="B223" t="s">
        <v>232</v>
      </c>
      <c r="C223" s="316" t="s">
        <v>63</v>
      </c>
      <c r="D223" s="323" t="s">
        <v>791</v>
      </c>
      <c r="E223" s="453">
        <v>0.61979347075737634</v>
      </c>
      <c r="F223" s="457">
        <f t="shared" si="22"/>
        <v>2.1440710455913618E-2</v>
      </c>
      <c r="G223" s="38"/>
      <c r="H223" s="226">
        <v>1</v>
      </c>
      <c r="I223" s="227">
        <f t="shared" si="21"/>
        <v>2.1673678460052727E-2</v>
      </c>
      <c r="J223" s="38"/>
    </row>
    <row r="224" spans="1:10" x14ac:dyDescent="0.15">
      <c r="A224" s="15" t="s">
        <v>9</v>
      </c>
      <c r="B224" t="s">
        <v>233</v>
      </c>
      <c r="C224" s="316" t="s">
        <v>63</v>
      </c>
      <c r="D224" s="323" t="s">
        <v>791</v>
      </c>
      <c r="E224" s="453">
        <v>9.3898653850874633E-2</v>
      </c>
      <c r="F224" s="457">
        <f t="shared" si="22"/>
        <v>3.2482656633289497E-3</v>
      </c>
      <c r="G224" s="38"/>
      <c r="H224" s="226">
        <v>0</v>
      </c>
      <c r="I224" s="227">
        <f t="shared" si="21"/>
        <v>0</v>
      </c>
      <c r="J224" s="38" t="s">
        <v>1282</v>
      </c>
    </row>
    <row r="225" spans="1:10" x14ac:dyDescent="0.15">
      <c r="A225" s="25" t="s">
        <v>9</v>
      </c>
      <c r="B225" s="8" t="s">
        <v>234</v>
      </c>
      <c r="C225" s="268" t="s">
        <v>63</v>
      </c>
      <c r="D225" s="454" t="s">
        <v>791</v>
      </c>
      <c r="E225" s="455">
        <v>0.21682296994777103</v>
      </c>
      <c r="F225" s="456">
        <f t="shared" si="22"/>
        <v>7.5006251891628064E-3</v>
      </c>
      <c r="G225" s="39"/>
      <c r="H225" s="228">
        <v>0</v>
      </c>
      <c r="I225" s="229">
        <f t="shared" si="21"/>
        <v>0</v>
      </c>
      <c r="J225" s="39" t="s">
        <v>1283</v>
      </c>
    </row>
    <row r="227" spans="1:10" x14ac:dyDescent="0.15">
      <c r="A227" s="15" t="s">
        <v>792</v>
      </c>
    </row>
    <row r="228" spans="1:10" x14ac:dyDescent="0.15">
      <c r="A228" s="15" t="s">
        <v>795</v>
      </c>
    </row>
  </sheetData>
  <mergeCells count="1">
    <mergeCell ref="A2:J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30"/>
  <sheetViews>
    <sheetView topLeftCell="A197" workbookViewId="0">
      <selection activeCell="C166" sqref="C166"/>
    </sheetView>
  </sheetViews>
  <sheetFormatPr baseColWidth="10" defaultColWidth="8.83203125" defaultRowHeight="13" x14ac:dyDescent="0.15"/>
  <cols>
    <col min="1" max="1" width="28.83203125" customWidth="1"/>
    <col min="2" max="2" width="24" bestFit="1" customWidth="1"/>
    <col min="3" max="3" width="94.5" customWidth="1"/>
    <col min="4" max="4" width="14.6640625" bestFit="1" customWidth="1"/>
    <col min="5" max="5" width="17" customWidth="1"/>
    <col min="6" max="14" width="11.6640625" customWidth="1"/>
  </cols>
  <sheetData>
    <row r="1" spans="1:14" ht="14" thickBot="1" x14ac:dyDescent="0.2">
      <c r="A1" s="1" t="s">
        <v>24</v>
      </c>
    </row>
    <row r="2" spans="1:14" x14ac:dyDescent="0.15">
      <c r="A2" s="859" t="s">
        <v>393</v>
      </c>
      <c r="B2" s="860"/>
      <c r="C2" s="860"/>
      <c r="D2" s="861"/>
      <c r="G2" s="9"/>
    </row>
    <row r="3" spans="1:14" x14ac:dyDescent="0.15">
      <c r="A3" s="862"/>
      <c r="B3" s="863"/>
      <c r="C3" s="863"/>
      <c r="D3" s="864"/>
    </row>
    <row r="4" spans="1:14" ht="14" thickBot="1" x14ac:dyDescent="0.2">
      <c r="A4" s="865"/>
      <c r="B4" s="866"/>
      <c r="C4" s="866"/>
      <c r="D4" s="867"/>
    </row>
    <row r="6" spans="1:14" ht="26" x14ac:dyDescent="0.15">
      <c r="A6" s="159" t="s">
        <v>3</v>
      </c>
      <c r="B6" s="19" t="s">
        <v>27</v>
      </c>
      <c r="C6" s="19" t="s">
        <v>67</v>
      </c>
      <c r="D6" s="19" t="s">
        <v>59</v>
      </c>
      <c r="E6" s="20" t="s">
        <v>69</v>
      </c>
      <c r="F6" s="21" t="s">
        <v>70</v>
      </c>
      <c r="G6" s="21" t="s">
        <v>71</v>
      </c>
      <c r="H6" s="22" t="s">
        <v>72</v>
      </c>
      <c r="I6" s="23" t="s">
        <v>73</v>
      </c>
      <c r="J6" s="22" t="s">
        <v>74</v>
      </c>
      <c r="K6" s="22" t="s">
        <v>75</v>
      </c>
      <c r="L6" s="22" t="s">
        <v>76</v>
      </c>
      <c r="M6" s="22" t="s">
        <v>77</v>
      </c>
      <c r="N6" s="41" t="s">
        <v>78</v>
      </c>
    </row>
    <row r="7" spans="1:14" x14ac:dyDescent="0.15">
      <c r="A7" s="68" t="s">
        <v>4</v>
      </c>
      <c r="B7" s="12" t="s">
        <v>60</v>
      </c>
      <c r="C7" s="157" t="s">
        <v>796</v>
      </c>
      <c r="D7" s="151" t="s">
        <v>68</v>
      </c>
      <c r="E7" s="315" t="s">
        <v>64</v>
      </c>
      <c r="F7" s="101">
        <v>28.4</v>
      </c>
      <c r="G7" s="101">
        <v>3.2177199999999999</v>
      </c>
      <c r="H7" s="101">
        <v>99.967999999999989</v>
      </c>
      <c r="I7" s="101">
        <v>3.3426799999999997</v>
      </c>
      <c r="J7" s="101">
        <v>0.49415999999999999</v>
      </c>
      <c r="K7" s="101">
        <v>21.055759999999999</v>
      </c>
      <c r="L7" s="101">
        <v>9.6559999999999993E-2</v>
      </c>
      <c r="M7" s="101">
        <v>8.3069999999999991E-2</v>
      </c>
      <c r="N7" s="42">
        <v>0</v>
      </c>
    </row>
    <row r="8" spans="1:14" x14ac:dyDescent="0.15">
      <c r="A8" s="68" t="s">
        <v>4</v>
      </c>
      <c r="B8" s="12" t="s">
        <v>61</v>
      </c>
      <c r="C8" s="157" t="s">
        <v>797</v>
      </c>
      <c r="D8" s="151" t="s">
        <v>68</v>
      </c>
      <c r="E8" s="315" t="s">
        <v>64</v>
      </c>
      <c r="F8" s="101">
        <v>28.4</v>
      </c>
      <c r="G8" s="101">
        <v>3.1069599999999995</v>
      </c>
      <c r="H8" s="101">
        <v>96.27600000000001</v>
      </c>
      <c r="I8" s="101">
        <v>3.8851200000000001</v>
      </c>
      <c r="J8" s="101">
        <v>0.70147999999999999</v>
      </c>
      <c r="K8" s="101">
        <v>20.20092</v>
      </c>
      <c r="L8" s="101">
        <v>0</v>
      </c>
      <c r="M8" s="101">
        <v>0.128936</v>
      </c>
      <c r="N8" s="42">
        <v>0</v>
      </c>
    </row>
    <row r="9" spans="1:14" x14ac:dyDescent="0.15">
      <c r="A9" s="68" t="s">
        <v>4</v>
      </c>
      <c r="B9" s="13" t="s">
        <v>62</v>
      </c>
      <c r="C9" s="150" t="s">
        <v>798</v>
      </c>
      <c r="D9" s="151" t="s">
        <v>68</v>
      </c>
      <c r="E9" s="315" t="s">
        <v>64</v>
      </c>
      <c r="F9" s="101">
        <v>28.4</v>
      </c>
      <c r="G9" s="101">
        <v>3.0061400000000003</v>
      </c>
      <c r="H9" s="101">
        <v>102.666</v>
      </c>
      <c r="I9" s="101">
        <v>2.1370999999999998</v>
      </c>
      <c r="J9" s="101">
        <v>1.0578999999999998</v>
      </c>
      <c r="K9" s="101">
        <v>21.83108</v>
      </c>
      <c r="L9" s="101">
        <v>0.18175999999999998</v>
      </c>
      <c r="M9" s="101">
        <v>0.148816</v>
      </c>
      <c r="N9" s="42">
        <v>0</v>
      </c>
    </row>
    <row r="10" spans="1:14" x14ac:dyDescent="0.15">
      <c r="A10" s="68" t="s">
        <v>4</v>
      </c>
      <c r="B10" s="13" t="s">
        <v>54</v>
      </c>
      <c r="C10" s="150" t="s">
        <v>799</v>
      </c>
      <c r="D10" s="151" t="s">
        <v>68</v>
      </c>
      <c r="E10" s="315" t="s">
        <v>64</v>
      </c>
      <c r="F10" s="101">
        <v>28.4</v>
      </c>
      <c r="G10" s="101">
        <v>3.1552399999999996</v>
      </c>
      <c r="H10" s="101">
        <v>97.127999999999986</v>
      </c>
      <c r="I10" s="101">
        <v>2.3841799999999997</v>
      </c>
      <c r="J10" s="101">
        <v>0.42884</v>
      </c>
      <c r="K10" s="101">
        <v>22.282640000000001</v>
      </c>
      <c r="L10" s="101">
        <v>0.29535999999999996</v>
      </c>
      <c r="M10" s="101">
        <v>0.10081999999999999</v>
      </c>
      <c r="N10" s="42">
        <v>0</v>
      </c>
    </row>
    <row r="11" spans="1:14" x14ac:dyDescent="0.15">
      <c r="A11" s="68" t="s">
        <v>4</v>
      </c>
      <c r="B11" s="13" t="s">
        <v>55</v>
      </c>
      <c r="C11" s="150" t="s">
        <v>800</v>
      </c>
      <c r="D11" s="151" t="s">
        <v>68</v>
      </c>
      <c r="E11" s="315" t="s">
        <v>64</v>
      </c>
      <c r="F11" s="101">
        <v>28.4</v>
      </c>
      <c r="G11" s="101">
        <v>2.3628799999999996</v>
      </c>
      <c r="H11" s="101">
        <v>108.20399999999999</v>
      </c>
      <c r="I11" s="101">
        <v>7.3839999999999989E-2</v>
      </c>
      <c r="J11" s="101">
        <v>1.4199999999999999E-2</v>
      </c>
      <c r="K11" s="101">
        <v>25.920679999999997</v>
      </c>
      <c r="L11" s="101">
        <v>0</v>
      </c>
      <c r="M11" s="101">
        <v>2.5560000000000001E-3</v>
      </c>
      <c r="N11" s="42">
        <v>0</v>
      </c>
    </row>
    <row r="12" spans="1:14" x14ac:dyDescent="0.15">
      <c r="A12" s="68" t="s">
        <v>4</v>
      </c>
      <c r="B12" s="12" t="s">
        <v>56</v>
      </c>
      <c r="C12" s="150" t="s">
        <v>801</v>
      </c>
      <c r="D12" s="151" t="s">
        <v>68</v>
      </c>
      <c r="E12" s="315" t="s">
        <v>64</v>
      </c>
      <c r="F12" s="101">
        <v>28.4</v>
      </c>
      <c r="G12" s="101">
        <v>3.1353599999999995</v>
      </c>
      <c r="H12" s="101">
        <v>97.601333333333329</v>
      </c>
      <c r="I12" s="101">
        <v>3.4657466666666665</v>
      </c>
      <c r="J12" s="101">
        <v>0.47996</v>
      </c>
      <c r="K12" s="101">
        <v>20.896720000000002</v>
      </c>
      <c r="L12" s="101">
        <v>0.41085333333333329</v>
      </c>
      <c r="M12" s="101">
        <v>5.670533333333333E-2</v>
      </c>
      <c r="N12" s="42">
        <v>0</v>
      </c>
    </row>
    <row r="13" spans="1:14" x14ac:dyDescent="0.15">
      <c r="A13" s="68" t="s">
        <v>4</v>
      </c>
      <c r="B13" s="12" t="s">
        <v>36</v>
      </c>
      <c r="C13" s="160" t="s">
        <v>802</v>
      </c>
      <c r="D13" s="161" t="s">
        <v>68</v>
      </c>
      <c r="E13" s="315" t="s">
        <v>64</v>
      </c>
      <c r="F13" s="101">
        <v>28.4</v>
      </c>
      <c r="G13" s="101">
        <v>3.4386719999999995</v>
      </c>
      <c r="H13" s="101">
        <v>103.09199999999998</v>
      </c>
      <c r="I13" s="101">
        <v>2.026624</v>
      </c>
      <c r="J13" s="101">
        <v>0.41804799999999998</v>
      </c>
      <c r="K13" s="101">
        <v>22.257080000000002</v>
      </c>
      <c r="L13" s="101">
        <v>0.13774</v>
      </c>
      <c r="M13" s="101">
        <v>9.0766399999999997E-2</v>
      </c>
      <c r="N13" s="42">
        <v>0</v>
      </c>
    </row>
    <row r="14" spans="1:14" x14ac:dyDescent="0.15">
      <c r="A14" s="68" t="s">
        <v>4</v>
      </c>
      <c r="B14" s="13" t="s">
        <v>57</v>
      </c>
      <c r="C14" s="157" t="s">
        <v>803</v>
      </c>
      <c r="D14" s="151" t="s">
        <v>68</v>
      </c>
      <c r="E14" s="315" t="s">
        <v>64</v>
      </c>
      <c r="F14" s="101">
        <v>28.4</v>
      </c>
      <c r="G14" s="101">
        <v>2.3344800000000001</v>
      </c>
      <c r="H14" s="101">
        <v>110.47599999999998</v>
      </c>
      <c r="I14" s="101">
        <v>4.7967599999999999</v>
      </c>
      <c r="J14" s="101">
        <v>1.9596</v>
      </c>
      <c r="K14" s="101">
        <v>18.820679999999996</v>
      </c>
      <c r="L14" s="101">
        <v>0</v>
      </c>
      <c r="M14" s="101">
        <v>0.34562800000000005</v>
      </c>
      <c r="N14" s="42">
        <v>0</v>
      </c>
    </row>
    <row r="15" spans="1:14" s="49" customFormat="1" x14ac:dyDescent="0.15">
      <c r="A15" s="68" t="s">
        <v>4</v>
      </c>
      <c r="B15" s="13" t="s">
        <v>58</v>
      </c>
      <c r="C15" s="150" t="s">
        <v>804</v>
      </c>
      <c r="D15" s="151" t="s">
        <v>68</v>
      </c>
      <c r="E15" s="315" t="s">
        <v>64</v>
      </c>
      <c r="F15" s="101">
        <v>28.4</v>
      </c>
      <c r="G15" s="101">
        <v>2.6809599999999993</v>
      </c>
      <c r="H15" s="101">
        <v>100.536</v>
      </c>
      <c r="I15" s="101">
        <v>3.5443200000000004</v>
      </c>
      <c r="J15" s="101">
        <v>0.65319999999999989</v>
      </c>
      <c r="K15" s="101">
        <v>20.868319999999997</v>
      </c>
      <c r="L15" s="101">
        <v>0.22719999999999999</v>
      </c>
      <c r="M15" s="101">
        <v>0.13688799999999998</v>
      </c>
      <c r="N15" s="42">
        <v>0</v>
      </c>
    </row>
    <row r="16" spans="1:14" s="49" customFormat="1" x14ac:dyDescent="0.15">
      <c r="A16" s="162" t="s">
        <v>383</v>
      </c>
      <c r="B16" s="153"/>
      <c r="C16" s="153"/>
      <c r="D16" s="153"/>
      <c r="E16" s="153"/>
      <c r="F16" s="153"/>
      <c r="G16" s="153"/>
      <c r="H16" s="153"/>
      <c r="I16" s="153"/>
      <c r="J16" s="153"/>
      <c r="K16" s="153"/>
      <c r="L16" s="153"/>
      <c r="M16" s="153"/>
      <c r="N16" s="163"/>
    </row>
    <row r="17" spans="1:14" x14ac:dyDescent="0.15">
      <c r="A17" s="68" t="s">
        <v>79</v>
      </c>
      <c r="B17" s="98" t="s">
        <v>80</v>
      </c>
      <c r="C17" s="98" t="s">
        <v>805</v>
      </c>
      <c r="D17" s="98" t="s">
        <v>429</v>
      </c>
      <c r="E17" s="98" t="s">
        <v>88</v>
      </c>
      <c r="F17" s="98">
        <v>91</v>
      </c>
      <c r="G17" s="98">
        <v>81.263000000000005</v>
      </c>
      <c r="H17" s="98">
        <v>30.94</v>
      </c>
      <c r="I17" s="98">
        <v>2.5662000000000003</v>
      </c>
      <c r="J17" s="98">
        <v>0.3367</v>
      </c>
      <c r="K17" s="98">
        <v>6.0423999999999998</v>
      </c>
      <c r="L17" s="98">
        <v>1.5469999999999999</v>
      </c>
      <c r="M17" s="98">
        <v>3.5490000000000001E-2</v>
      </c>
      <c r="N17" s="43">
        <v>0</v>
      </c>
    </row>
    <row r="18" spans="1:14" x14ac:dyDescent="0.15">
      <c r="A18" s="68" t="s">
        <v>79</v>
      </c>
      <c r="B18" s="98" t="s">
        <v>80</v>
      </c>
      <c r="C18" s="98" t="s">
        <v>806</v>
      </c>
      <c r="D18" s="98" t="s">
        <v>432</v>
      </c>
      <c r="E18" s="98" t="s">
        <v>88</v>
      </c>
      <c r="F18" s="98">
        <v>156</v>
      </c>
      <c r="G18" s="98">
        <v>142.67759999999998</v>
      </c>
      <c r="H18" s="98">
        <v>40.56</v>
      </c>
      <c r="I18" s="98">
        <v>4.3836000000000004</v>
      </c>
      <c r="J18" s="98">
        <v>0.45239999999999997</v>
      </c>
      <c r="K18" s="98">
        <v>7.4568000000000003</v>
      </c>
      <c r="L18" s="98">
        <v>2.1060000000000003</v>
      </c>
      <c r="M18" s="98">
        <v>6.8639999999999993E-2</v>
      </c>
      <c r="N18" s="43">
        <v>0</v>
      </c>
    </row>
    <row r="19" spans="1:14" x14ac:dyDescent="0.15">
      <c r="A19" s="164" t="s">
        <v>79</v>
      </c>
      <c r="B19" s="46" t="s">
        <v>81</v>
      </c>
      <c r="C19" s="98" t="s">
        <v>807</v>
      </c>
      <c r="D19" s="98" t="s">
        <v>429</v>
      </c>
      <c r="E19" s="98" t="s">
        <v>88</v>
      </c>
      <c r="F19" s="98">
        <v>36</v>
      </c>
      <c r="G19" s="98">
        <v>32.597999999999999</v>
      </c>
      <c r="H19" s="98">
        <v>10.8</v>
      </c>
      <c r="I19" s="98">
        <v>0.88200000000000001</v>
      </c>
      <c r="J19" s="98">
        <v>0.1512</v>
      </c>
      <c r="K19" s="98">
        <v>2.0484</v>
      </c>
      <c r="L19" s="98">
        <v>0.16560000000000002</v>
      </c>
      <c r="M19" s="98">
        <v>1.9799999999999998E-2</v>
      </c>
      <c r="N19" s="43">
        <v>0</v>
      </c>
    </row>
    <row r="20" spans="1:14" x14ac:dyDescent="0.15">
      <c r="A20" s="164" t="s">
        <v>79</v>
      </c>
      <c r="B20" s="46" t="s">
        <v>82</v>
      </c>
      <c r="C20" s="98" t="s">
        <v>808</v>
      </c>
      <c r="D20" s="98" t="s">
        <v>429</v>
      </c>
      <c r="E20" s="98" t="s">
        <v>88</v>
      </c>
      <c r="F20" s="98">
        <v>50</v>
      </c>
      <c r="G20" s="98">
        <v>46.895000000000003</v>
      </c>
      <c r="H20" s="98">
        <v>8.5</v>
      </c>
      <c r="I20" s="98">
        <v>0.625</v>
      </c>
      <c r="J20" s="98">
        <v>0.1</v>
      </c>
      <c r="K20" s="98">
        <v>1.675</v>
      </c>
      <c r="L20" s="98">
        <v>0.125</v>
      </c>
      <c r="M20" s="98">
        <v>2.4E-2</v>
      </c>
      <c r="N20" s="43">
        <v>0</v>
      </c>
    </row>
    <row r="21" spans="1:14" x14ac:dyDescent="0.15">
      <c r="A21" s="68" t="s">
        <v>79</v>
      </c>
      <c r="B21" s="98" t="s">
        <v>83</v>
      </c>
      <c r="C21" s="98" t="s">
        <v>809</v>
      </c>
      <c r="D21" s="98" t="s">
        <v>429</v>
      </c>
      <c r="E21" s="98" t="s">
        <v>88</v>
      </c>
      <c r="F21" s="98">
        <v>67</v>
      </c>
      <c r="G21" s="98">
        <v>56.588200000000001</v>
      </c>
      <c r="H21" s="98">
        <v>33.5</v>
      </c>
      <c r="I21" s="98">
        <v>2.2109999999999999</v>
      </c>
      <c r="J21" s="98">
        <v>0.46899999999999997</v>
      </c>
      <c r="K21" s="98">
        <v>6.7066999999999997</v>
      </c>
      <c r="L21" s="98">
        <v>0</v>
      </c>
      <c r="M21" s="98">
        <v>6.0969999999999996E-2</v>
      </c>
      <c r="N21" s="43">
        <v>0</v>
      </c>
    </row>
    <row r="22" spans="1:14" x14ac:dyDescent="0.15">
      <c r="A22" s="68" t="s">
        <v>79</v>
      </c>
      <c r="B22" s="98" t="s">
        <v>84</v>
      </c>
      <c r="C22" s="98" t="s">
        <v>810</v>
      </c>
      <c r="D22" s="98" t="s">
        <v>429</v>
      </c>
      <c r="E22" s="98" t="s">
        <v>88</v>
      </c>
      <c r="F22" s="98">
        <v>41.5</v>
      </c>
      <c r="G22" s="98">
        <v>39.339925000000001</v>
      </c>
      <c r="H22" s="98">
        <v>6.64</v>
      </c>
      <c r="I22" s="98">
        <v>0.53742500000000004</v>
      </c>
      <c r="J22" s="98">
        <v>9.3374999999999986E-2</v>
      </c>
      <c r="K22" s="98">
        <v>1.2782</v>
      </c>
      <c r="L22" s="98">
        <v>0.408775</v>
      </c>
      <c r="M22" s="98">
        <v>1.2242499999999998E-2</v>
      </c>
      <c r="N22" s="43">
        <v>0</v>
      </c>
    </row>
    <row r="23" spans="1:14" x14ac:dyDescent="0.15">
      <c r="A23" s="68" t="s">
        <v>79</v>
      </c>
      <c r="B23" s="98" t="s">
        <v>85</v>
      </c>
      <c r="C23" s="98" t="s">
        <v>811</v>
      </c>
      <c r="D23" s="98" t="s">
        <v>429</v>
      </c>
      <c r="E23" s="98" t="s">
        <v>88</v>
      </c>
      <c r="F23" s="98">
        <v>56</v>
      </c>
      <c r="G23" s="98">
        <v>50.847999999999999</v>
      </c>
      <c r="H23" s="98">
        <v>14.56</v>
      </c>
      <c r="I23" s="98">
        <v>1.5120000000000002</v>
      </c>
      <c r="J23" s="98">
        <v>0.11200000000000002</v>
      </c>
      <c r="K23" s="98">
        <v>2.7440000000000002</v>
      </c>
      <c r="L23" s="98">
        <v>0.89600000000000013</v>
      </c>
      <c r="M23" s="98">
        <v>5.6000000000000008E-3</v>
      </c>
      <c r="N23" s="43">
        <v>0</v>
      </c>
    </row>
    <row r="24" spans="1:14" x14ac:dyDescent="0.15">
      <c r="A24" s="68" t="s">
        <v>79</v>
      </c>
      <c r="B24" s="98" t="s">
        <v>86</v>
      </c>
      <c r="C24" s="98" t="s">
        <v>812</v>
      </c>
      <c r="D24" s="98" t="s">
        <v>429</v>
      </c>
      <c r="E24" s="98" t="s">
        <v>88</v>
      </c>
      <c r="F24" s="98">
        <v>30</v>
      </c>
      <c r="G24" s="98">
        <v>27.42</v>
      </c>
      <c r="H24" s="98">
        <v>6.9</v>
      </c>
      <c r="I24" s="98">
        <v>0.85799999999999998</v>
      </c>
      <c r="J24" s="98">
        <v>0.11700000000000001</v>
      </c>
      <c r="K24" s="98">
        <v>1.089</v>
      </c>
      <c r="L24" s="98">
        <v>0.126</v>
      </c>
      <c r="M24" s="98">
        <v>1.89E-2</v>
      </c>
      <c r="N24" s="43">
        <v>0</v>
      </c>
    </row>
    <row r="25" spans="1:14" x14ac:dyDescent="0.15">
      <c r="A25" s="68" t="s">
        <v>79</v>
      </c>
      <c r="B25" s="98" t="s">
        <v>86</v>
      </c>
      <c r="C25" s="98" t="s">
        <v>813</v>
      </c>
      <c r="D25" s="98" t="s">
        <v>432</v>
      </c>
      <c r="E25" s="98" t="s">
        <v>88</v>
      </c>
      <c r="F25" s="98">
        <v>156</v>
      </c>
      <c r="G25" s="98">
        <v>140.6652</v>
      </c>
      <c r="H25" s="98">
        <v>45.24</v>
      </c>
      <c r="I25" s="98">
        <v>5.6627999999999998</v>
      </c>
      <c r="J25" s="98">
        <v>0.88919999999999988</v>
      </c>
      <c r="K25" s="98">
        <v>6.5675999999999997</v>
      </c>
      <c r="L25" s="98">
        <v>1.014</v>
      </c>
      <c r="M25" s="98">
        <v>6.3960000000000003E-2</v>
      </c>
      <c r="N25" s="43">
        <v>0</v>
      </c>
    </row>
    <row r="26" spans="1:14" x14ac:dyDescent="0.15">
      <c r="A26" s="68" t="s">
        <v>79</v>
      </c>
      <c r="B26" s="98" t="s">
        <v>87</v>
      </c>
      <c r="C26" s="98" t="s">
        <v>814</v>
      </c>
      <c r="D26" s="98" t="s">
        <v>429</v>
      </c>
      <c r="E26" s="98" t="s">
        <v>88</v>
      </c>
      <c r="F26" s="98">
        <v>55</v>
      </c>
      <c r="G26" s="98">
        <v>49.3185</v>
      </c>
      <c r="H26" s="98">
        <v>17.600000000000001</v>
      </c>
      <c r="I26" s="98">
        <v>0.82499999999999996</v>
      </c>
      <c r="J26" s="98">
        <v>0.16500000000000001</v>
      </c>
      <c r="K26" s="98">
        <v>3.9215</v>
      </c>
      <c r="L26" s="98">
        <v>0.44550000000000006</v>
      </c>
      <c r="M26" s="98">
        <v>3.8500000000000006E-2</v>
      </c>
      <c r="N26" s="43">
        <v>0</v>
      </c>
    </row>
    <row r="27" spans="1:14" x14ac:dyDescent="0.15">
      <c r="A27" s="162" t="s">
        <v>384</v>
      </c>
      <c r="B27" s="152"/>
      <c r="C27" s="152"/>
      <c r="D27" s="152"/>
      <c r="E27" s="152"/>
      <c r="F27" s="152"/>
      <c r="G27" s="152"/>
      <c r="H27" s="152"/>
      <c r="I27" s="152"/>
      <c r="J27" s="152"/>
      <c r="K27" s="152"/>
      <c r="L27" s="152"/>
      <c r="M27" s="152"/>
      <c r="N27" s="165"/>
    </row>
    <row r="28" spans="1:14" x14ac:dyDescent="0.15">
      <c r="A28" s="68" t="s">
        <v>1224</v>
      </c>
      <c r="B28" s="98" t="s">
        <v>89</v>
      </c>
      <c r="C28" s="98" t="s">
        <v>815</v>
      </c>
      <c r="D28" s="98" t="s">
        <v>429</v>
      </c>
      <c r="E28" s="98" t="s">
        <v>88</v>
      </c>
      <c r="F28" s="98">
        <v>128</v>
      </c>
      <c r="G28" s="98">
        <v>113.0112</v>
      </c>
      <c r="H28" s="98">
        <v>52.48</v>
      </c>
      <c r="I28" s="98">
        <v>1.1904000000000001</v>
      </c>
      <c r="J28" s="98">
        <v>0.30719999999999997</v>
      </c>
      <c r="K28" s="98">
        <v>12.2624</v>
      </c>
      <c r="L28" s="98">
        <v>6.0672000000000006</v>
      </c>
      <c r="M28" s="98">
        <v>4.7359999999999999E-2</v>
      </c>
      <c r="N28" s="43">
        <v>0</v>
      </c>
    </row>
    <row r="29" spans="1:14" x14ac:dyDescent="0.15">
      <c r="A29" s="68" t="s">
        <v>1224</v>
      </c>
      <c r="B29" s="98" t="s">
        <v>89</v>
      </c>
      <c r="C29" s="98" t="s">
        <v>816</v>
      </c>
      <c r="D29" s="98" t="s">
        <v>431</v>
      </c>
      <c r="E29" s="98" t="s">
        <v>88</v>
      </c>
      <c r="F29" s="98">
        <v>228</v>
      </c>
      <c r="G29" s="98">
        <v>211.92600000000002</v>
      </c>
      <c r="H29" s="98">
        <v>57</v>
      </c>
      <c r="I29" s="98">
        <v>1.4592000000000001</v>
      </c>
      <c r="J29" s="98">
        <v>0.43320000000000003</v>
      </c>
      <c r="K29" s="98">
        <v>12.631200000000002</v>
      </c>
      <c r="L29" s="98">
        <v>5.654399999999999</v>
      </c>
      <c r="M29" s="98">
        <v>8.208E-2</v>
      </c>
      <c r="N29" s="43">
        <v>0</v>
      </c>
    </row>
    <row r="30" spans="1:14" x14ac:dyDescent="0.15">
      <c r="A30" s="68" t="s">
        <v>1224</v>
      </c>
      <c r="B30" s="98" t="s">
        <v>89</v>
      </c>
      <c r="C30" s="98" t="s">
        <v>817</v>
      </c>
      <c r="D30" s="98" t="s">
        <v>432</v>
      </c>
      <c r="E30" s="98" t="s">
        <v>88</v>
      </c>
      <c r="F30" s="98">
        <v>146</v>
      </c>
      <c r="G30" s="98">
        <v>131.8672</v>
      </c>
      <c r="H30" s="98">
        <v>54.02</v>
      </c>
      <c r="I30" s="98">
        <v>0.84679999999999989</v>
      </c>
      <c r="J30" s="98">
        <v>0.99280000000000002</v>
      </c>
      <c r="K30" s="98">
        <v>11.285800000000002</v>
      </c>
      <c r="L30" s="98">
        <v>5.9568000000000003</v>
      </c>
      <c r="M30" s="98">
        <v>0.17519999999999999</v>
      </c>
      <c r="N30" s="43">
        <v>0</v>
      </c>
    </row>
    <row r="31" spans="1:14" x14ac:dyDescent="0.15">
      <c r="A31" s="68" t="s">
        <v>1224</v>
      </c>
      <c r="B31" s="98" t="s">
        <v>90</v>
      </c>
      <c r="C31" s="98" t="s">
        <v>818</v>
      </c>
      <c r="D31" s="98" t="s">
        <v>429</v>
      </c>
      <c r="E31" s="98" t="s">
        <v>88</v>
      </c>
      <c r="F31" s="98">
        <v>116</v>
      </c>
      <c r="G31" s="98">
        <v>106.25599999999999</v>
      </c>
      <c r="H31" s="98">
        <v>30.16</v>
      </c>
      <c r="I31" s="98">
        <v>1.1599999999999999</v>
      </c>
      <c r="J31" s="98">
        <v>0.11600000000000002</v>
      </c>
      <c r="K31" s="98">
        <v>7.54</v>
      </c>
      <c r="L31" s="98">
        <v>1.5776000000000001</v>
      </c>
      <c r="M31" s="98">
        <v>6.0319999999999999E-2</v>
      </c>
      <c r="N31" s="43">
        <v>0</v>
      </c>
    </row>
    <row r="32" spans="1:14" x14ac:dyDescent="0.15">
      <c r="A32" s="68" t="s">
        <v>1224</v>
      </c>
      <c r="B32" s="98" t="s">
        <v>91</v>
      </c>
      <c r="C32" s="98" t="s">
        <v>819</v>
      </c>
      <c r="D32" s="98" t="s">
        <v>429</v>
      </c>
      <c r="E32" s="98" t="s">
        <v>88</v>
      </c>
      <c r="F32" s="98">
        <v>140</v>
      </c>
      <c r="G32" s="98">
        <v>121.93299999999999</v>
      </c>
      <c r="H32" s="98">
        <v>59.5</v>
      </c>
      <c r="I32" s="98">
        <v>1.26</v>
      </c>
      <c r="J32" s="98">
        <v>0.14000000000000001</v>
      </c>
      <c r="K32" s="98">
        <v>15.477</v>
      </c>
      <c r="L32" s="98">
        <v>3.08</v>
      </c>
      <c r="M32" s="98">
        <v>2.9400000000000003E-2</v>
      </c>
      <c r="N32" s="43">
        <v>0</v>
      </c>
    </row>
    <row r="33" spans="1:14" x14ac:dyDescent="0.15">
      <c r="A33" s="68" t="s">
        <v>1224</v>
      </c>
      <c r="B33" s="98" t="s">
        <v>92</v>
      </c>
      <c r="C33" s="98" t="s">
        <v>820</v>
      </c>
      <c r="D33" s="98" t="s">
        <v>429</v>
      </c>
      <c r="E33" s="98" t="s">
        <v>88</v>
      </c>
      <c r="F33" s="98">
        <v>133</v>
      </c>
      <c r="G33" s="98">
        <v>102.7824</v>
      </c>
      <c r="H33" s="98">
        <v>114.38</v>
      </c>
      <c r="I33" s="98">
        <v>2.0880999999999998</v>
      </c>
      <c r="J33" s="98">
        <v>6.6500000000000004E-2</v>
      </c>
      <c r="K33" s="98">
        <v>26.759599999999999</v>
      </c>
      <c r="L33" s="98">
        <v>5.5593999999999992</v>
      </c>
      <c r="M33" s="98">
        <v>2.3939999999999996E-2</v>
      </c>
      <c r="N33" s="43">
        <v>0</v>
      </c>
    </row>
    <row r="34" spans="1:14" s="308" customFormat="1" x14ac:dyDescent="0.15">
      <c r="A34" s="68" t="s">
        <v>1224</v>
      </c>
      <c r="B34" s="315" t="s">
        <v>121</v>
      </c>
      <c r="C34" s="315" t="s">
        <v>862</v>
      </c>
      <c r="D34" s="315" t="s">
        <v>429</v>
      </c>
      <c r="E34" s="315" t="s">
        <v>88</v>
      </c>
      <c r="F34" s="315">
        <v>149</v>
      </c>
      <c r="G34" s="315">
        <v>140.8348</v>
      </c>
      <c r="H34" s="315">
        <v>26.82</v>
      </c>
      <c r="I34" s="315">
        <v>1.3112000000000001</v>
      </c>
      <c r="J34" s="315">
        <v>0.29799999999999999</v>
      </c>
      <c r="K34" s="315">
        <v>5.7961</v>
      </c>
      <c r="L34" s="315">
        <v>3.9186999999999999</v>
      </c>
      <c r="M34" s="315">
        <v>4.172E-2</v>
      </c>
      <c r="N34" s="43">
        <v>0</v>
      </c>
    </row>
    <row r="35" spans="1:14" s="308" customFormat="1" x14ac:dyDescent="0.15">
      <c r="A35" s="68" t="s">
        <v>1224</v>
      </c>
      <c r="B35" s="315" t="s">
        <v>121</v>
      </c>
      <c r="C35" s="315" t="s">
        <v>863</v>
      </c>
      <c r="D35" s="315" t="s">
        <v>431</v>
      </c>
      <c r="E35" s="315" t="s">
        <v>88</v>
      </c>
      <c r="F35" s="315">
        <v>255</v>
      </c>
      <c r="G35" s="315">
        <v>233.42700000000002</v>
      </c>
      <c r="H35" s="315">
        <v>66.3</v>
      </c>
      <c r="I35" s="315">
        <v>2.3205</v>
      </c>
      <c r="J35" s="315">
        <v>0.48450000000000004</v>
      </c>
      <c r="K35" s="315">
        <v>15.784500000000001</v>
      </c>
      <c r="L35" s="315">
        <v>8.9760000000000009</v>
      </c>
      <c r="M35" s="315">
        <v>6.6299999999999998E-2</v>
      </c>
      <c r="N35" s="43">
        <v>0</v>
      </c>
    </row>
    <row r="36" spans="1:14" x14ac:dyDescent="0.15">
      <c r="A36" s="162" t="s">
        <v>385</v>
      </c>
      <c r="B36" s="152"/>
      <c r="C36" s="152"/>
      <c r="D36" s="152"/>
      <c r="E36" s="152"/>
      <c r="F36" s="152"/>
      <c r="G36" s="152"/>
      <c r="H36" s="152"/>
      <c r="I36" s="152"/>
      <c r="J36" s="152"/>
      <c r="K36" s="152"/>
      <c r="L36" s="152"/>
      <c r="M36" s="152"/>
      <c r="N36" s="165"/>
    </row>
    <row r="37" spans="1:14" x14ac:dyDescent="0.15">
      <c r="A37" s="68" t="s">
        <v>93</v>
      </c>
      <c r="B37" s="98" t="s">
        <v>94</v>
      </c>
      <c r="C37" s="98" t="s">
        <v>821</v>
      </c>
      <c r="D37" s="309" t="s">
        <v>834</v>
      </c>
      <c r="E37" s="98" t="s">
        <v>88</v>
      </c>
      <c r="F37" s="98">
        <v>174.4</v>
      </c>
      <c r="G37" s="98">
        <v>115.40048</v>
      </c>
      <c r="H37" s="98">
        <v>228.9872</v>
      </c>
      <c r="I37" s="98">
        <v>14.086288</v>
      </c>
      <c r="J37" s="98">
        <v>1.2207999999999999</v>
      </c>
      <c r="K37" s="98">
        <v>41.763567999999992</v>
      </c>
      <c r="L37" s="98">
        <v>3.4734666666666674</v>
      </c>
      <c r="M37" s="98">
        <v>0.23038240000000004</v>
      </c>
      <c r="N37" s="43">
        <v>0</v>
      </c>
    </row>
    <row r="38" spans="1:14" x14ac:dyDescent="0.15">
      <c r="A38" s="166" t="s">
        <v>93</v>
      </c>
      <c r="B38" s="25" t="s">
        <v>95</v>
      </c>
      <c r="C38" s="25" t="s">
        <v>822</v>
      </c>
      <c r="D38" s="47" t="s">
        <v>834</v>
      </c>
      <c r="E38" s="25" t="s">
        <v>88</v>
      </c>
      <c r="F38" s="25">
        <v>197</v>
      </c>
      <c r="G38" s="25">
        <v>137.04304999999999</v>
      </c>
      <c r="H38" s="25">
        <v>230.49</v>
      </c>
      <c r="I38" s="25">
        <v>17.099599999999999</v>
      </c>
      <c r="J38" s="25">
        <v>0.75844999999999996</v>
      </c>
      <c r="K38" s="25">
        <v>40.611550000000001</v>
      </c>
      <c r="L38" s="25">
        <v>4.6295000000000002</v>
      </c>
      <c r="M38" s="25">
        <v>0.105395</v>
      </c>
      <c r="N38" s="44">
        <v>0</v>
      </c>
    </row>
    <row r="39" spans="1:14" x14ac:dyDescent="0.15">
      <c r="A39" s="68" t="s">
        <v>97</v>
      </c>
      <c r="B39" s="98" t="s">
        <v>101</v>
      </c>
      <c r="C39" s="98" t="s">
        <v>823</v>
      </c>
      <c r="D39" s="98" t="s">
        <v>431</v>
      </c>
      <c r="E39" s="98" t="s">
        <v>88</v>
      </c>
      <c r="F39" s="98">
        <v>145</v>
      </c>
      <c r="G39" s="98">
        <v>114.34700000000001</v>
      </c>
      <c r="H39" s="98">
        <v>73.709999999999994</v>
      </c>
      <c r="I39" s="98">
        <v>4.9321999999999999</v>
      </c>
      <c r="J39" s="98">
        <v>0.36399999999999999</v>
      </c>
      <c r="K39" s="98">
        <v>13.1495</v>
      </c>
      <c r="L39" s="98">
        <v>5.1597</v>
      </c>
      <c r="M39" s="98">
        <v>6.4610000000000001E-2</v>
      </c>
      <c r="N39" s="43">
        <v>0</v>
      </c>
    </row>
    <row r="40" spans="1:14" x14ac:dyDescent="0.15">
      <c r="A40" s="68" t="s">
        <v>97</v>
      </c>
      <c r="B40" s="98" t="s">
        <v>101</v>
      </c>
      <c r="C40" s="98" t="s">
        <v>824</v>
      </c>
      <c r="D40" s="98" t="s">
        <v>432</v>
      </c>
      <c r="E40" s="98" t="s">
        <v>88</v>
      </c>
      <c r="F40" s="98">
        <v>134</v>
      </c>
      <c r="G40" s="98">
        <v>107.17319999999999</v>
      </c>
      <c r="H40" s="98">
        <v>70.069999999999993</v>
      </c>
      <c r="I40" s="98">
        <v>4.7501999999999995</v>
      </c>
      <c r="J40" s="98">
        <v>0.36399999999999999</v>
      </c>
      <c r="K40" s="98">
        <v>12.394199999999998</v>
      </c>
      <c r="L40" s="98">
        <v>4.55</v>
      </c>
      <c r="M40" s="98">
        <v>6.0060000000000002E-2</v>
      </c>
      <c r="N40" s="43">
        <v>0</v>
      </c>
    </row>
    <row r="41" spans="1:14" x14ac:dyDescent="0.15">
      <c r="A41" s="68" t="s">
        <v>97</v>
      </c>
      <c r="B41" s="98" t="s">
        <v>98</v>
      </c>
      <c r="C41" s="98" t="s">
        <v>825</v>
      </c>
      <c r="D41" s="98" t="s">
        <v>429</v>
      </c>
      <c r="E41" s="98" t="s">
        <v>88</v>
      </c>
      <c r="F41" s="98">
        <v>188</v>
      </c>
      <c r="G41" s="98">
        <v>131.20519999999999</v>
      </c>
      <c r="H41" s="98">
        <v>216.2</v>
      </c>
      <c r="I41" s="98">
        <v>14.663999999999998</v>
      </c>
      <c r="J41" s="98">
        <v>0.71439999999999992</v>
      </c>
      <c r="K41" s="98">
        <v>39.254399999999997</v>
      </c>
      <c r="L41" s="98">
        <v>5.4519999999999991</v>
      </c>
      <c r="M41" s="98">
        <v>0.16732</v>
      </c>
      <c r="N41" s="43">
        <v>0</v>
      </c>
    </row>
    <row r="42" spans="1:14" x14ac:dyDescent="0.15">
      <c r="A42" s="68" t="s">
        <v>97</v>
      </c>
      <c r="B42" s="98" t="s">
        <v>98</v>
      </c>
      <c r="C42" s="98" t="s">
        <v>826</v>
      </c>
      <c r="D42" s="98" t="s">
        <v>432</v>
      </c>
      <c r="E42" s="98" t="s">
        <v>88</v>
      </c>
      <c r="F42" s="98">
        <v>160</v>
      </c>
      <c r="G42" s="98">
        <v>115.28</v>
      </c>
      <c r="H42" s="98">
        <v>169.6</v>
      </c>
      <c r="I42" s="98">
        <v>10.24</v>
      </c>
      <c r="J42" s="98">
        <v>0.56000000000000005</v>
      </c>
      <c r="K42" s="98">
        <v>31.727999999999998</v>
      </c>
      <c r="L42" s="98">
        <v>2.2239999999999998</v>
      </c>
      <c r="M42" s="98">
        <v>0.12960000000000002</v>
      </c>
      <c r="N42" s="43">
        <v>0</v>
      </c>
    </row>
    <row r="43" spans="1:14" x14ac:dyDescent="0.15">
      <c r="A43" s="68" t="s">
        <v>97</v>
      </c>
      <c r="B43" s="98" t="s">
        <v>99</v>
      </c>
      <c r="C43" s="98" t="s">
        <v>827</v>
      </c>
      <c r="D43" s="98" t="s">
        <v>429</v>
      </c>
      <c r="E43" s="98" t="s">
        <v>88</v>
      </c>
      <c r="F43" s="98">
        <v>213</v>
      </c>
      <c r="G43" s="98">
        <v>168.99420000000001</v>
      </c>
      <c r="H43" s="98">
        <v>164.01</v>
      </c>
      <c r="I43" s="98">
        <v>4.3026</v>
      </c>
      <c r="J43" s="98">
        <v>0.19169999999999998</v>
      </c>
      <c r="K43" s="98">
        <v>37.211099999999995</v>
      </c>
      <c r="L43" s="98">
        <v>1.6614000000000002</v>
      </c>
      <c r="M43" s="98">
        <v>5.5379999999999992E-2</v>
      </c>
      <c r="N43" s="43">
        <v>0</v>
      </c>
    </row>
    <row r="44" spans="1:14" x14ac:dyDescent="0.15">
      <c r="A44" s="68" t="s">
        <v>97</v>
      </c>
      <c r="B44" s="98" t="s">
        <v>99</v>
      </c>
      <c r="C44" s="98" t="s">
        <v>828</v>
      </c>
      <c r="D44" s="98" t="s">
        <v>431</v>
      </c>
      <c r="E44" s="98" t="s">
        <v>88</v>
      </c>
      <c r="F44" s="98">
        <v>180</v>
      </c>
      <c r="G44" s="98">
        <v>151.70400000000001</v>
      </c>
      <c r="H44" s="98">
        <v>108</v>
      </c>
      <c r="I44" s="98">
        <v>2.5379999999999998</v>
      </c>
      <c r="J44" s="98">
        <v>0.37799999999999995</v>
      </c>
      <c r="K44" s="98">
        <v>24.497999999999998</v>
      </c>
      <c r="L44" s="98">
        <v>1.0619999999999998</v>
      </c>
      <c r="M44" s="98">
        <v>9.7200000000000009E-2</v>
      </c>
      <c r="N44" s="43">
        <v>0</v>
      </c>
    </row>
    <row r="45" spans="1:14" x14ac:dyDescent="0.15">
      <c r="A45" s="68" t="s">
        <v>97</v>
      </c>
      <c r="B45" s="98" t="s">
        <v>99</v>
      </c>
      <c r="C45" s="98" t="s">
        <v>829</v>
      </c>
      <c r="D45" s="98" t="s">
        <v>432</v>
      </c>
      <c r="E45" s="98" t="s">
        <v>88</v>
      </c>
      <c r="F45" s="98">
        <v>182</v>
      </c>
      <c r="G45" s="98">
        <v>144.32599999999999</v>
      </c>
      <c r="H45" s="98">
        <v>141.96</v>
      </c>
      <c r="I45" s="98">
        <v>4.3315999999999999</v>
      </c>
      <c r="J45" s="98">
        <v>0.29120000000000001</v>
      </c>
      <c r="K45" s="98">
        <v>31.795400000000001</v>
      </c>
      <c r="L45" s="98">
        <v>1.4196</v>
      </c>
      <c r="M45" s="98">
        <v>7.4620000000000006E-2</v>
      </c>
      <c r="N45" s="43">
        <v>0</v>
      </c>
    </row>
    <row r="46" spans="1:14" x14ac:dyDescent="0.15">
      <c r="A46" s="68" t="s">
        <v>97</v>
      </c>
      <c r="B46" s="98" t="s">
        <v>99</v>
      </c>
      <c r="C46" s="98" t="s">
        <v>830</v>
      </c>
      <c r="D46" s="98" t="s">
        <v>518</v>
      </c>
      <c r="E46" s="98" t="s">
        <v>88</v>
      </c>
      <c r="F46" s="98">
        <v>60</v>
      </c>
      <c r="G46" s="98">
        <v>3.948</v>
      </c>
      <c r="H46" s="98">
        <v>212.4</v>
      </c>
      <c r="I46" s="98">
        <v>5.0039999999999996</v>
      </c>
      <c r="J46" s="98">
        <v>0.24599999999999997</v>
      </c>
      <c r="K46" s="98">
        <v>48.701999999999998</v>
      </c>
      <c r="L46" s="98">
        <v>2.016</v>
      </c>
      <c r="M46" s="98">
        <v>0.1014</v>
      </c>
      <c r="N46" s="43">
        <v>0</v>
      </c>
    </row>
    <row r="47" spans="1:14" x14ac:dyDescent="0.15">
      <c r="A47" s="68" t="s">
        <v>97</v>
      </c>
      <c r="B47" s="98" t="s">
        <v>100</v>
      </c>
      <c r="C47" s="98" t="s">
        <v>831</v>
      </c>
      <c r="D47" s="98" t="s">
        <v>429</v>
      </c>
      <c r="E47" s="98" t="s">
        <v>88</v>
      </c>
      <c r="F47" s="98">
        <v>120</v>
      </c>
      <c r="G47" s="98">
        <v>91.151999999999987</v>
      </c>
      <c r="H47" s="98">
        <v>103.2</v>
      </c>
      <c r="I47" s="98">
        <v>3.8640000000000003</v>
      </c>
      <c r="J47" s="98">
        <v>1.4159999999999997</v>
      </c>
      <c r="K47" s="98">
        <v>22.823999999999998</v>
      </c>
      <c r="L47" s="98">
        <v>3.8640000000000003</v>
      </c>
      <c r="M47" s="98">
        <v>0.21840000000000001</v>
      </c>
      <c r="N47" s="43">
        <v>0</v>
      </c>
    </row>
    <row r="48" spans="1:14" x14ac:dyDescent="0.15">
      <c r="A48" s="68" t="s">
        <v>97</v>
      </c>
      <c r="B48" s="98" t="s">
        <v>100</v>
      </c>
      <c r="C48" s="98" t="s">
        <v>832</v>
      </c>
      <c r="D48" s="98" t="s">
        <v>431</v>
      </c>
      <c r="E48" s="98" t="s">
        <v>88</v>
      </c>
      <c r="F48" s="98">
        <v>164</v>
      </c>
      <c r="G48" s="98">
        <v>126.14880000000001</v>
      </c>
      <c r="H48" s="98">
        <v>132.84</v>
      </c>
      <c r="I48" s="98">
        <v>4.2968000000000002</v>
      </c>
      <c r="J48" s="98">
        <v>1.64</v>
      </c>
      <c r="K48" s="98">
        <v>30.487599999999997</v>
      </c>
      <c r="L48" s="98">
        <v>3.9359999999999995</v>
      </c>
      <c r="M48" s="98">
        <v>0.25256000000000001</v>
      </c>
      <c r="N48" s="43">
        <v>0</v>
      </c>
    </row>
    <row r="49" spans="1:14" x14ac:dyDescent="0.15">
      <c r="A49" s="68" t="s">
        <v>97</v>
      </c>
      <c r="B49" s="98" t="s">
        <v>100</v>
      </c>
      <c r="C49" s="98" t="s">
        <v>833</v>
      </c>
      <c r="D49" s="98" t="s">
        <v>432</v>
      </c>
      <c r="E49" s="98" t="s">
        <v>88</v>
      </c>
      <c r="F49" s="98">
        <v>165</v>
      </c>
      <c r="G49" s="98">
        <v>123.61800000000001</v>
      </c>
      <c r="H49" s="98">
        <v>145.19999999999999</v>
      </c>
      <c r="I49" s="98">
        <v>4.9830000000000005</v>
      </c>
      <c r="J49" s="98">
        <v>1.2705</v>
      </c>
      <c r="K49" s="98">
        <v>34.336499999999994</v>
      </c>
      <c r="L49" s="98">
        <v>5.1480000000000006</v>
      </c>
      <c r="M49" s="98">
        <v>0.19634999999999997</v>
      </c>
      <c r="N49" s="43">
        <v>0</v>
      </c>
    </row>
    <row r="50" spans="1:14" x14ac:dyDescent="0.15">
      <c r="A50" s="162" t="s">
        <v>386</v>
      </c>
      <c r="B50" s="152"/>
      <c r="C50" s="152"/>
      <c r="D50" s="152"/>
      <c r="E50" s="152"/>
      <c r="F50" s="152"/>
      <c r="G50" s="152"/>
      <c r="H50" s="152"/>
      <c r="I50" s="152"/>
      <c r="J50" s="152"/>
      <c r="K50" s="152"/>
      <c r="L50" s="152"/>
      <c r="M50" s="152"/>
      <c r="N50" s="165"/>
    </row>
    <row r="51" spans="1:14" x14ac:dyDescent="0.15">
      <c r="A51" s="68" t="s">
        <v>102</v>
      </c>
      <c r="B51" s="98" t="s">
        <v>103</v>
      </c>
      <c r="C51" s="98" t="s">
        <v>835</v>
      </c>
      <c r="D51" s="98" t="s">
        <v>429</v>
      </c>
      <c r="E51" s="98" t="s">
        <v>88</v>
      </c>
      <c r="F51" s="98">
        <v>196.92307692307691</v>
      </c>
      <c r="G51" s="98">
        <v>118.916</v>
      </c>
      <c r="H51" s="98">
        <v>92.553846153846152</v>
      </c>
      <c r="I51" s="98">
        <v>6.4393846153846148</v>
      </c>
      <c r="J51" s="98">
        <v>0.29538461538461536</v>
      </c>
      <c r="K51" s="98">
        <v>20.696615384615384</v>
      </c>
      <c r="L51" s="98">
        <v>1.9495384615384612</v>
      </c>
      <c r="M51" s="98">
        <v>7.0892307692307685E-2</v>
      </c>
      <c r="N51" s="43">
        <v>0</v>
      </c>
    </row>
    <row r="52" spans="1:14" x14ac:dyDescent="0.15">
      <c r="A52" s="68" t="s">
        <v>102</v>
      </c>
      <c r="B52" s="98" t="s">
        <v>104</v>
      </c>
      <c r="C52" s="98" t="s">
        <v>836</v>
      </c>
      <c r="D52" s="98" t="s">
        <v>429</v>
      </c>
      <c r="E52" s="98" t="s">
        <v>88</v>
      </c>
      <c r="F52" s="98">
        <v>134</v>
      </c>
      <c r="G52" s="98">
        <v>124.9148</v>
      </c>
      <c r="H52" s="98">
        <v>26.8</v>
      </c>
      <c r="I52" s="98">
        <v>2.948</v>
      </c>
      <c r="J52" s="98">
        <v>0.16079999999999997</v>
      </c>
      <c r="K52" s="98">
        <v>5.1991999999999994</v>
      </c>
      <c r="L52" s="98">
        <v>2.5191999999999997</v>
      </c>
      <c r="M52" s="98">
        <v>5.3600000000000002E-2</v>
      </c>
      <c r="N52" s="43">
        <v>0</v>
      </c>
    </row>
    <row r="53" spans="1:14" x14ac:dyDescent="0.15">
      <c r="A53" s="68" t="s">
        <v>102</v>
      </c>
      <c r="B53" s="98" t="s">
        <v>104</v>
      </c>
      <c r="C53" s="98" t="s">
        <v>837</v>
      </c>
      <c r="D53" s="98" t="s">
        <v>431</v>
      </c>
      <c r="E53" s="98" t="s">
        <v>88</v>
      </c>
      <c r="F53" s="98">
        <v>242</v>
      </c>
      <c r="G53" s="98">
        <v>227.4316</v>
      </c>
      <c r="H53" s="98">
        <v>45.98</v>
      </c>
      <c r="I53" s="98">
        <v>5.1787999999999998</v>
      </c>
      <c r="J53" s="98">
        <v>1.5730000000000002</v>
      </c>
      <c r="K53" s="98">
        <v>5.9531999999999989</v>
      </c>
      <c r="L53" s="98">
        <v>2.5652000000000004</v>
      </c>
      <c r="M53" s="98">
        <v>0.35574</v>
      </c>
      <c r="N53" s="43">
        <v>0</v>
      </c>
    </row>
    <row r="54" spans="1:14" x14ac:dyDescent="0.15">
      <c r="A54" s="68" t="s">
        <v>102</v>
      </c>
      <c r="B54" s="98" t="s">
        <v>104</v>
      </c>
      <c r="C54" s="98" t="s">
        <v>838</v>
      </c>
      <c r="D54" s="98" t="s">
        <v>432</v>
      </c>
      <c r="E54" s="98" t="s">
        <v>88</v>
      </c>
      <c r="F54" s="98">
        <v>180</v>
      </c>
      <c r="G54" s="98">
        <v>169.38</v>
      </c>
      <c r="H54" s="98">
        <v>32.4</v>
      </c>
      <c r="I54" s="98">
        <v>5.31</v>
      </c>
      <c r="J54" s="98">
        <v>0.75599999999999989</v>
      </c>
      <c r="K54" s="98">
        <v>3.4559999999999995</v>
      </c>
      <c r="L54" s="98">
        <v>0.57600000000000007</v>
      </c>
      <c r="M54" s="98">
        <v>0.17280000000000001</v>
      </c>
      <c r="N54" s="43">
        <v>0</v>
      </c>
    </row>
    <row r="55" spans="1:14" x14ac:dyDescent="0.15">
      <c r="A55" s="68" t="s">
        <v>102</v>
      </c>
      <c r="B55" s="98" t="s">
        <v>105</v>
      </c>
      <c r="C55" s="98" t="s">
        <v>839</v>
      </c>
      <c r="D55" s="98" t="s">
        <v>429</v>
      </c>
      <c r="E55" s="98" t="s">
        <v>88</v>
      </c>
      <c r="F55" s="98">
        <v>149</v>
      </c>
      <c r="G55" s="98">
        <v>139.89610000000002</v>
      </c>
      <c r="H55" s="98">
        <v>29.8</v>
      </c>
      <c r="I55" s="98">
        <v>1.2813999999999999</v>
      </c>
      <c r="J55" s="98">
        <v>0.25330000000000003</v>
      </c>
      <c r="K55" s="98">
        <v>6.9135999999999989</v>
      </c>
      <c r="L55" s="98">
        <v>3.5759999999999996</v>
      </c>
      <c r="M55" s="98">
        <v>8.6420000000000011E-2</v>
      </c>
      <c r="N55" s="43">
        <v>0</v>
      </c>
    </row>
    <row r="56" spans="1:14" x14ac:dyDescent="0.15">
      <c r="A56" s="68" t="s">
        <v>102</v>
      </c>
      <c r="B56" s="98" t="s">
        <v>106</v>
      </c>
      <c r="C56" s="98" t="s">
        <v>840</v>
      </c>
      <c r="D56" s="98" t="s">
        <v>429</v>
      </c>
      <c r="E56" s="98" t="s">
        <v>88</v>
      </c>
      <c r="F56" s="98">
        <v>88</v>
      </c>
      <c r="G56" s="98">
        <v>75.680000000000007</v>
      </c>
      <c r="H56" s="98">
        <v>37.840000000000003</v>
      </c>
      <c r="I56" s="98">
        <v>2.9744000000000002</v>
      </c>
      <c r="J56" s="98">
        <v>0.26400000000000001</v>
      </c>
      <c r="K56" s="98">
        <v>7.8759999999999994</v>
      </c>
      <c r="L56" s="98">
        <v>1.9360000000000002</v>
      </c>
      <c r="M56" s="98">
        <v>5.4559999999999997E-2</v>
      </c>
      <c r="N56" s="43">
        <v>0</v>
      </c>
    </row>
    <row r="57" spans="1:14" x14ac:dyDescent="0.15">
      <c r="A57" s="68" t="s">
        <v>102</v>
      </c>
      <c r="B57" s="98" t="s">
        <v>107</v>
      </c>
      <c r="C57" s="98" t="s">
        <v>841</v>
      </c>
      <c r="D57" s="98" t="s">
        <v>429</v>
      </c>
      <c r="E57" s="98" t="s">
        <v>88</v>
      </c>
      <c r="F57" s="98">
        <v>89</v>
      </c>
      <c r="G57" s="98">
        <v>82.040199999999999</v>
      </c>
      <c r="H57" s="98">
        <v>22.25</v>
      </c>
      <c r="I57" s="98">
        <v>1.1392</v>
      </c>
      <c r="J57" s="98">
        <v>8.900000000000001E-2</v>
      </c>
      <c r="K57" s="98">
        <v>5.161999999999999</v>
      </c>
      <c r="L57" s="98">
        <v>2.8480000000000003</v>
      </c>
      <c r="M57" s="98">
        <v>3.0260000000000002E-2</v>
      </c>
      <c r="N57" s="43">
        <v>0</v>
      </c>
    </row>
    <row r="58" spans="1:14" x14ac:dyDescent="0.15">
      <c r="A58" s="68" t="s">
        <v>102</v>
      </c>
      <c r="B58" s="98" t="s">
        <v>107</v>
      </c>
      <c r="C58" s="98" t="s">
        <v>842</v>
      </c>
      <c r="D58" s="98" t="s">
        <v>431</v>
      </c>
      <c r="E58" s="98" t="s">
        <v>88</v>
      </c>
      <c r="F58" s="98">
        <v>150</v>
      </c>
      <c r="G58" s="98">
        <v>69.427499999999995</v>
      </c>
      <c r="H58" s="98">
        <v>34.5</v>
      </c>
      <c r="I58" s="98">
        <v>1.905</v>
      </c>
      <c r="J58" s="98">
        <v>0.09</v>
      </c>
      <c r="K58" s="98">
        <v>8.2650000000000006</v>
      </c>
      <c r="L58" s="98">
        <v>4.1849999999999996</v>
      </c>
      <c r="M58" s="98">
        <v>0</v>
      </c>
      <c r="N58" s="43">
        <v>0</v>
      </c>
    </row>
    <row r="59" spans="1:14" x14ac:dyDescent="0.15">
      <c r="A59" s="68" t="s">
        <v>102</v>
      </c>
      <c r="B59" s="98" t="s">
        <v>108</v>
      </c>
      <c r="C59" s="98" t="s">
        <v>843</v>
      </c>
      <c r="D59" s="98" t="s">
        <v>429</v>
      </c>
      <c r="E59" s="98" t="s">
        <v>88</v>
      </c>
      <c r="F59" s="98">
        <v>107</v>
      </c>
      <c r="G59" s="98">
        <v>98.514899999999997</v>
      </c>
      <c r="H59" s="98">
        <v>26.75</v>
      </c>
      <c r="I59" s="98">
        <v>2.0543999999999998</v>
      </c>
      <c r="J59" s="98">
        <v>0.29960000000000003</v>
      </c>
      <c r="K59" s="98">
        <v>5.3178999999999998</v>
      </c>
      <c r="L59" s="98">
        <v>2.0436999999999999</v>
      </c>
      <c r="M59" s="98">
        <v>6.8479999999999999E-2</v>
      </c>
      <c r="N59" s="43">
        <v>0</v>
      </c>
    </row>
    <row r="60" spans="1:14" x14ac:dyDescent="0.15">
      <c r="A60" s="68" t="s">
        <v>102</v>
      </c>
      <c r="B60" s="98" t="s">
        <v>108</v>
      </c>
      <c r="C60" s="98" t="s">
        <v>844</v>
      </c>
      <c r="D60" s="98" t="s">
        <v>432</v>
      </c>
      <c r="E60" s="98" t="s">
        <v>88</v>
      </c>
      <c r="F60" s="98">
        <v>180</v>
      </c>
      <c r="G60" s="98">
        <v>169.2</v>
      </c>
      <c r="H60" s="98">
        <v>34.200000000000003</v>
      </c>
      <c r="I60" s="98">
        <v>2.8980000000000001</v>
      </c>
      <c r="J60" s="98">
        <v>0.39600000000000002</v>
      </c>
      <c r="K60" s="98">
        <v>6.75</v>
      </c>
      <c r="L60" s="98">
        <v>1.89</v>
      </c>
      <c r="M60" s="98">
        <v>6.1200000000000004E-2</v>
      </c>
      <c r="N60" s="43">
        <v>0</v>
      </c>
    </row>
    <row r="61" spans="1:14" x14ac:dyDescent="0.15">
      <c r="A61" s="68" t="s">
        <v>102</v>
      </c>
      <c r="B61" s="98" t="s">
        <v>109</v>
      </c>
      <c r="C61" s="98" t="s">
        <v>845</v>
      </c>
      <c r="D61" s="98" t="s">
        <v>429</v>
      </c>
      <c r="E61" s="98" t="s">
        <v>88</v>
      </c>
      <c r="F61" s="98">
        <v>101</v>
      </c>
      <c r="G61" s="98">
        <v>96.384299999999996</v>
      </c>
      <c r="H61" s="98">
        <v>16.16</v>
      </c>
      <c r="I61" s="98">
        <v>0.69689999999999996</v>
      </c>
      <c r="J61" s="98">
        <v>0.17170000000000002</v>
      </c>
      <c r="K61" s="98">
        <v>2.9997000000000003</v>
      </c>
      <c r="L61" s="98">
        <v>1.8483000000000001</v>
      </c>
      <c r="M61" s="98">
        <v>4.2419999999999999E-2</v>
      </c>
      <c r="N61" s="43">
        <v>0</v>
      </c>
    </row>
    <row r="62" spans="1:14" x14ac:dyDescent="0.15">
      <c r="A62" s="68" t="s">
        <v>102</v>
      </c>
      <c r="B62" s="98" t="s">
        <v>110</v>
      </c>
      <c r="C62" s="98" t="s">
        <v>846</v>
      </c>
      <c r="D62" s="98" t="s">
        <v>431</v>
      </c>
      <c r="E62" s="98" t="s">
        <v>88</v>
      </c>
      <c r="F62" s="98">
        <v>136</v>
      </c>
      <c r="G62" s="98">
        <v>62.9</v>
      </c>
      <c r="H62" s="98">
        <v>28.56</v>
      </c>
      <c r="I62" s="98">
        <v>1.224</v>
      </c>
      <c r="J62" s="98">
        <v>0.13600000000000001</v>
      </c>
      <c r="K62" s="98">
        <v>6.9359999999999991</v>
      </c>
      <c r="L62" s="98">
        <v>4.2431999999999999</v>
      </c>
      <c r="M62" s="98">
        <v>1.3600000000000001E-2</v>
      </c>
      <c r="N62" s="43">
        <v>0</v>
      </c>
    </row>
    <row r="63" spans="1:14" x14ac:dyDescent="0.15">
      <c r="A63" s="68" t="s">
        <v>102</v>
      </c>
      <c r="B63" s="98" t="s">
        <v>111</v>
      </c>
      <c r="C63" s="98" t="s">
        <v>847</v>
      </c>
      <c r="D63" s="98" t="s">
        <v>429</v>
      </c>
      <c r="E63" s="98" t="s">
        <v>88</v>
      </c>
      <c r="F63" s="98">
        <v>52</v>
      </c>
      <c r="G63" s="98">
        <v>49.519599999999997</v>
      </c>
      <c r="H63" s="98">
        <v>15.6</v>
      </c>
      <c r="I63" s="98">
        <v>0.67600000000000005</v>
      </c>
      <c r="J63" s="98">
        <v>0.1144</v>
      </c>
      <c r="K63" s="98">
        <v>3.7751999999999999</v>
      </c>
      <c r="L63" s="98">
        <v>1.7368000000000001</v>
      </c>
      <c r="M63" s="98">
        <v>3.848E-2</v>
      </c>
      <c r="N63" s="43">
        <v>0</v>
      </c>
    </row>
    <row r="64" spans="1:14" x14ac:dyDescent="0.15">
      <c r="A64" s="68" t="s">
        <v>102</v>
      </c>
      <c r="B64" s="98" t="s">
        <v>111</v>
      </c>
      <c r="C64" s="98" t="s">
        <v>848</v>
      </c>
      <c r="D64" s="98" t="s">
        <v>431</v>
      </c>
      <c r="E64" s="98" t="s">
        <v>88</v>
      </c>
      <c r="F64" s="98">
        <v>143</v>
      </c>
      <c r="G64" s="98">
        <v>134.89189999999999</v>
      </c>
      <c r="H64" s="98">
        <v>17.16</v>
      </c>
      <c r="I64" s="98">
        <v>0.85799999999999998</v>
      </c>
      <c r="J64" s="98">
        <v>0.20020000000000004</v>
      </c>
      <c r="K64" s="98">
        <v>3.7037</v>
      </c>
      <c r="L64" s="98">
        <v>1.8733000000000002</v>
      </c>
      <c r="M64" s="98">
        <v>5.1479999999999998E-2</v>
      </c>
      <c r="N64" s="43">
        <v>0</v>
      </c>
    </row>
    <row r="65" spans="1:14" x14ac:dyDescent="0.15">
      <c r="A65" s="68" t="s">
        <v>102</v>
      </c>
      <c r="B65" s="98" t="s">
        <v>112</v>
      </c>
      <c r="C65" s="98" t="s">
        <v>849</v>
      </c>
      <c r="D65" s="98" t="s">
        <v>429</v>
      </c>
      <c r="E65" s="98" t="s">
        <v>88</v>
      </c>
      <c r="F65" s="98">
        <v>82</v>
      </c>
      <c r="G65" s="98">
        <v>75.776200000000003</v>
      </c>
      <c r="H65" s="98">
        <v>19.68</v>
      </c>
      <c r="I65" s="98">
        <v>0.82820000000000005</v>
      </c>
      <c r="J65" s="98">
        <v>0.15579999999999999</v>
      </c>
      <c r="K65" s="98">
        <v>4.6740000000000004</v>
      </c>
      <c r="L65" s="98">
        <v>1.9270000000000003</v>
      </c>
      <c r="M65" s="98">
        <v>2.7880000000000002E-2</v>
      </c>
      <c r="N65" s="43">
        <v>0</v>
      </c>
    </row>
    <row r="66" spans="1:14" x14ac:dyDescent="0.15">
      <c r="A66" s="68" t="s">
        <v>102</v>
      </c>
      <c r="B66" s="98" t="s">
        <v>113</v>
      </c>
      <c r="C66" s="98" t="s">
        <v>850</v>
      </c>
      <c r="D66" s="98" t="s">
        <v>429</v>
      </c>
      <c r="E66" s="98" t="s">
        <v>88</v>
      </c>
      <c r="F66" s="98">
        <v>136</v>
      </c>
      <c r="G66" s="98">
        <v>79.668800000000005</v>
      </c>
      <c r="H66" s="98">
        <v>202.64</v>
      </c>
      <c r="I66" s="98">
        <v>8.6495999999999995</v>
      </c>
      <c r="J66" s="98">
        <v>0.68</v>
      </c>
      <c r="K66" s="98">
        <v>44.961599999999997</v>
      </c>
      <c r="L66" s="98">
        <v>1.36</v>
      </c>
      <c r="M66" s="98">
        <v>0.12103999999999999</v>
      </c>
      <c r="N66" s="43">
        <v>0</v>
      </c>
    </row>
    <row r="67" spans="1:14" x14ac:dyDescent="0.15">
      <c r="A67" s="68" t="s">
        <v>102</v>
      </c>
      <c r="B67" s="98" t="s">
        <v>114</v>
      </c>
      <c r="C67" s="98" t="s">
        <v>851</v>
      </c>
      <c r="D67" s="98" t="s">
        <v>429</v>
      </c>
      <c r="E67" s="98" t="s">
        <v>88</v>
      </c>
      <c r="F67" s="98">
        <v>72</v>
      </c>
      <c r="G67" s="98">
        <v>68.860799999999998</v>
      </c>
      <c r="H67" s="98">
        <v>10.08</v>
      </c>
      <c r="I67" s="98">
        <v>0.64800000000000002</v>
      </c>
      <c r="J67" s="98">
        <v>0.10080000000000001</v>
      </c>
      <c r="K67" s="98">
        <v>2.1383999999999999</v>
      </c>
      <c r="L67" s="98">
        <v>1.4184000000000001</v>
      </c>
      <c r="M67" s="98">
        <v>1.2959999999999998E-2</v>
      </c>
      <c r="N67" s="43">
        <v>0</v>
      </c>
    </row>
    <row r="68" spans="1:14" x14ac:dyDescent="0.15">
      <c r="A68" s="68" t="s">
        <v>102</v>
      </c>
      <c r="B68" s="98" t="s">
        <v>115</v>
      </c>
      <c r="C68" s="98" t="s">
        <v>852</v>
      </c>
      <c r="D68" s="98" t="s">
        <v>429</v>
      </c>
      <c r="E68" s="98" t="s">
        <v>88</v>
      </c>
      <c r="F68" s="98">
        <v>70</v>
      </c>
      <c r="G68" s="98">
        <v>64.715000000000003</v>
      </c>
      <c r="H68" s="98">
        <v>15.4</v>
      </c>
      <c r="I68" s="98">
        <v>2.1629999999999998</v>
      </c>
      <c r="J68" s="98">
        <v>0.23800000000000002</v>
      </c>
      <c r="K68" s="98">
        <v>2.282</v>
      </c>
      <c r="L68" s="98">
        <v>1.3859999999999999</v>
      </c>
      <c r="M68" s="98">
        <v>3.5000000000000003E-2</v>
      </c>
      <c r="N68" s="43">
        <v>0</v>
      </c>
    </row>
    <row r="69" spans="1:14" x14ac:dyDescent="0.15">
      <c r="A69" s="68" t="s">
        <v>102</v>
      </c>
      <c r="B69" s="98" t="s">
        <v>115</v>
      </c>
      <c r="C69" s="98" t="s">
        <v>853</v>
      </c>
      <c r="D69" s="98" t="s">
        <v>431</v>
      </c>
      <c r="E69" s="98" t="s">
        <v>88</v>
      </c>
      <c r="F69" s="98">
        <v>156</v>
      </c>
      <c r="G69" s="98">
        <v>142.0848</v>
      </c>
      <c r="H69" s="98">
        <v>39</v>
      </c>
      <c r="I69" s="98">
        <v>2.9172000000000002</v>
      </c>
      <c r="J69" s="98">
        <v>0.45239999999999997</v>
      </c>
      <c r="K69" s="98">
        <v>7.9403999999999995</v>
      </c>
      <c r="L69" s="98">
        <v>3.6503999999999994</v>
      </c>
      <c r="M69" s="98">
        <v>5.9279999999999999E-2</v>
      </c>
      <c r="N69" s="43">
        <v>0</v>
      </c>
    </row>
    <row r="70" spans="1:14" x14ac:dyDescent="0.15">
      <c r="A70" s="68" t="s">
        <v>102</v>
      </c>
      <c r="B70" s="98" t="s">
        <v>116</v>
      </c>
      <c r="C70" s="98" t="s">
        <v>854</v>
      </c>
      <c r="D70" s="98" t="s">
        <v>429</v>
      </c>
      <c r="E70" s="98" t="s">
        <v>88</v>
      </c>
      <c r="F70" s="98">
        <v>100</v>
      </c>
      <c r="G70" s="98">
        <v>90.17</v>
      </c>
      <c r="H70" s="98">
        <v>31</v>
      </c>
      <c r="I70" s="98">
        <v>2</v>
      </c>
      <c r="J70" s="98">
        <v>0.1</v>
      </c>
      <c r="K70" s="98">
        <v>7.03</v>
      </c>
      <c r="L70" s="98">
        <v>1.2</v>
      </c>
      <c r="M70" s="98">
        <v>2.6000000000000002E-2</v>
      </c>
      <c r="N70" s="43">
        <v>0</v>
      </c>
    </row>
    <row r="71" spans="1:14" x14ac:dyDescent="0.15">
      <c r="A71" s="68" t="s">
        <v>102</v>
      </c>
      <c r="B71" s="98" t="s">
        <v>117</v>
      </c>
      <c r="C71" s="98" t="s">
        <v>855</v>
      </c>
      <c r="D71" s="98" t="s">
        <v>429</v>
      </c>
      <c r="E71" s="98" t="s">
        <v>88</v>
      </c>
      <c r="F71" s="98">
        <v>160</v>
      </c>
      <c r="G71" s="98">
        <v>142.57599999999999</v>
      </c>
      <c r="H71" s="98">
        <v>64</v>
      </c>
      <c r="I71" s="98">
        <v>1.76</v>
      </c>
      <c r="J71" s="98">
        <v>0.16</v>
      </c>
      <c r="K71" s="98">
        <v>14.944000000000001</v>
      </c>
      <c r="L71" s="98">
        <v>6.7840000000000007</v>
      </c>
      <c r="M71" s="98">
        <v>6.720000000000001E-2</v>
      </c>
      <c r="N71" s="43">
        <v>0</v>
      </c>
    </row>
    <row r="72" spans="1:14" x14ac:dyDescent="0.15">
      <c r="A72" s="68" t="s">
        <v>102</v>
      </c>
      <c r="B72" s="98" t="s">
        <v>117</v>
      </c>
      <c r="C72" s="98" t="s">
        <v>856</v>
      </c>
      <c r="D72" s="98" t="s">
        <v>519</v>
      </c>
      <c r="E72" s="98" t="s">
        <v>88</v>
      </c>
      <c r="F72" s="98">
        <v>56</v>
      </c>
      <c r="G72" s="98">
        <v>0.55020000000000002</v>
      </c>
      <c r="H72" s="98">
        <v>195.44</v>
      </c>
      <c r="I72" s="98">
        <v>5.0119999999999996</v>
      </c>
      <c r="J72" s="98">
        <v>0.2576</v>
      </c>
      <c r="K72" s="98">
        <v>46.636800000000001</v>
      </c>
      <c r="L72" s="98">
        <v>20.9496</v>
      </c>
      <c r="M72" s="98">
        <v>4.3680000000000004E-2</v>
      </c>
      <c r="N72" s="43">
        <v>0</v>
      </c>
    </row>
    <row r="73" spans="1:14" x14ac:dyDescent="0.15">
      <c r="A73" s="68" t="s">
        <v>102</v>
      </c>
      <c r="B73" s="98" t="s">
        <v>118</v>
      </c>
      <c r="C73" s="98" t="s">
        <v>857</v>
      </c>
      <c r="D73" s="98" t="s">
        <v>429</v>
      </c>
      <c r="E73" s="98" t="s">
        <v>88</v>
      </c>
      <c r="F73" s="98">
        <v>116</v>
      </c>
      <c r="G73" s="98">
        <v>110.5132</v>
      </c>
      <c r="H73" s="98">
        <v>18.559999999999999</v>
      </c>
      <c r="I73" s="98">
        <v>0.78880000000000006</v>
      </c>
      <c r="J73" s="98">
        <v>0.11600000000000002</v>
      </c>
      <c r="K73" s="98">
        <v>3.944</v>
      </c>
      <c r="L73" s="98">
        <v>2.1576000000000004</v>
      </c>
      <c r="M73" s="98">
        <v>3.712E-2</v>
      </c>
      <c r="N73" s="43">
        <v>0</v>
      </c>
    </row>
    <row r="74" spans="1:14" x14ac:dyDescent="0.15">
      <c r="A74" s="68" t="s">
        <v>102</v>
      </c>
      <c r="B74" s="98" t="s">
        <v>119</v>
      </c>
      <c r="C74" s="98" t="s">
        <v>858</v>
      </c>
      <c r="D74" s="98" t="s">
        <v>429</v>
      </c>
      <c r="E74" s="98" t="s">
        <v>88</v>
      </c>
      <c r="F74" s="98">
        <v>100</v>
      </c>
      <c r="G74" s="98">
        <v>90.32</v>
      </c>
      <c r="H74" s="98">
        <v>31</v>
      </c>
      <c r="I74" s="98">
        <v>1.83</v>
      </c>
      <c r="J74" s="98">
        <v>0.22</v>
      </c>
      <c r="K74" s="98">
        <v>6.97</v>
      </c>
      <c r="L74" s="98">
        <v>3.26</v>
      </c>
      <c r="M74" s="98">
        <v>0.05</v>
      </c>
      <c r="N74" s="43">
        <v>0</v>
      </c>
    </row>
    <row r="75" spans="1:14" x14ac:dyDescent="0.15">
      <c r="A75" s="68" t="s">
        <v>102</v>
      </c>
      <c r="B75" s="98" t="s">
        <v>119</v>
      </c>
      <c r="C75" s="98" t="s">
        <v>859</v>
      </c>
      <c r="D75" s="98" t="s">
        <v>431</v>
      </c>
      <c r="E75" s="98" t="s">
        <v>88</v>
      </c>
      <c r="F75" s="98">
        <v>153</v>
      </c>
      <c r="G75" s="98">
        <v>142.7337</v>
      </c>
      <c r="H75" s="98">
        <v>35.19</v>
      </c>
      <c r="I75" s="98">
        <v>1.8053999999999999</v>
      </c>
      <c r="J75" s="98">
        <v>0.16830000000000001</v>
      </c>
      <c r="K75" s="98">
        <v>6.7473000000000001</v>
      </c>
      <c r="L75" s="98">
        <v>1.1934</v>
      </c>
      <c r="M75" s="98">
        <v>3.8249999999999999E-2</v>
      </c>
      <c r="N75" s="43">
        <v>0</v>
      </c>
    </row>
    <row r="76" spans="1:14" x14ac:dyDescent="0.15">
      <c r="A76" s="68" t="s">
        <v>102</v>
      </c>
      <c r="B76" s="98" t="s">
        <v>119</v>
      </c>
      <c r="C76" s="98" t="s">
        <v>860</v>
      </c>
      <c r="D76" s="98" t="s">
        <v>432</v>
      </c>
      <c r="E76" s="98" t="s">
        <v>88</v>
      </c>
      <c r="F76" s="98">
        <v>121</v>
      </c>
      <c r="G76" s="98">
        <v>108.81530000000001</v>
      </c>
      <c r="H76" s="98">
        <v>47.19</v>
      </c>
      <c r="I76" s="98">
        <v>2.1659000000000002</v>
      </c>
      <c r="J76" s="98">
        <v>0.25409999999999999</v>
      </c>
      <c r="K76" s="98">
        <v>9.1234000000000002</v>
      </c>
      <c r="L76" s="98">
        <v>2.6740999999999997</v>
      </c>
      <c r="M76" s="98">
        <v>5.6870000000000004E-2</v>
      </c>
      <c r="N76" s="43">
        <v>0</v>
      </c>
    </row>
    <row r="77" spans="1:14" x14ac:dyDescent="0.15">
      <c r="A77" s="68" t="s">
        <v>102</v>
      </c>
      <c r="B77" s="98" t="s">
        <v>120</v>
      </c>
      <c r="C77" s="98" t="s">
        <v>861</v>
      </c>
      <c r="D77" s="98" t="s">
        <v>429</v>
      </c>
      <c r="E77" s="98" t="s">
        <v>88</v>
      </c>
      <c r="F77" s="98">
        <v>124</v>
      </c>
      <c r="G77" s="98">
        <v>117.53960000000001</v>
      </c>
      <c r="H77" s="98">
        <v>21.08</v>
      </c>
      <c r="I77" s="98">
        <v>1.5004</v>
      </c>
      <c r="J77" s="98">
        <v>0.39679999999999999</v>
      </c>
      <c r="K77" s="98">
        <v>3.8563999999999998</v>
      </c>
      <c r="L77" s="98">
        <v>3.1</v>
      </c>
      <c r="M77" s="98">
        <v>0.10416</v>
      </c>
      <c r="N77" s="43">
        <v>0</v>
      </c>
    </row>
    <row r="78" spans="1:14" x14ac:dyDescent="0.15">
      <c r="A78" s="162" t="s">
        <v>387</v>
      </c>
      <c r="B78" s="152"/>
      <c r="C78" s="152"/>
      <c r="D78" s="152"/>
      <c r="E78" s="152"/>
      <c r="F78" s="152"/>
      <c r="G78" s="152"/>
      <c r="H78" s="152"/>
      <c r="I78" s="152"/>
      <c r="J78" s="152"/>
      <c r="K78" s="152"/>
      <c r="L78" s="152"/>
      <c r="M78" s="152"/>
      <c r="N78" s="165"/>
    </row>
    <row r="79" spans="1:14" x14ac:dyDescent="0.15">
      <c r="A79" s="68" t="s">
        <v>123</v>
      </c>
      <c r="B79" s="98" t="s">
        <v>124</v>
      </c>
      <c r="C79" s="98" t="s">
        <v>864</v>
      </c>
      <c r="D79" s="98" t="s">
        <v>429</v>
      </c>
      <c r="E79" s="98" t="s">
        <v>88</v>
      </c>
      <c r="F79" s="98">
        <v>180</v>
      </c>
      <c r="G79" s="98">
        <v>156.15</v>
      </c>
      <c r="H79" s="98">
        <v>84.6</v>
      </c>
      <c r="I79" s="98">
        <v>1.6919999999999999</v>
      </c>
      <c r="J79" s="98">
        <v>0.21599999999999997</v>
      </c>
      <c r="K79" s="98">
        <v>21.15</v>
      </c>
      <c r="L79" s="98">
        <v>16.829999999999998</v>
      </c>
      <c r="M79" s="98">
        <v>2.6999999999999996E-2</v>
      </c>
      <c r="N79" s="43">
        <v>0</v>
      </c>
    </row>
    <row r="80" spans="1:14" x14ac:dyDescent="0.15">
      <c r="A80" s="68" t="s">
        <v>123</v>
      </c>
      <c r="B80" s="98" t="s">
        <v>124</v>
      </c>
      <c r="C80" s="98" t="s">
        <v>865</v>
      </c>
      <c r="D80" s="98" t="s">
        <v>554</v>
      </c>
      <c r="E80" s="98" t="s">
        <v>88</v>
      </c>
      <c r="F80" s="98">
        <v>248</v>
      </c>
      <c r="G80" s="98">
        <v>218.98399999999998</v>
      </c>
      <c r="H80" s="98">
        <v>111.6</v>
      </c>
      <c r="I80" s="98">
        <v>1.736</v>
      </c>
      <c r="J80" s="98">
        <v>0.496</v>
      </c>
      <c r="K80" s="98">
        <v>25.792000000000002</v>
      </c>
      <c r="L80" s="98">
        <v>20.832000000000004</v>
      </c>
      <c r="M80" s="98">
        <v>5.9519999999999997E-2</v>
      </c>
      <c r="N80" s="43">
        <v>0</v>
      </c>
    </row>
    <row r="81" spans="1:14" x14ac:dyDescent="0.15">
      <c r="A81" s="68" t="s">
        <v>123</v>
      </c>
      <c r="B81" s="98" t="s">
        <v>125</v>
      </c>
      <c r="C81" s="98" t="s">
        <v>866</v>
      </c>
      <c r="D81" s="98" t="s">
        <v>429</v>
      </c>
      <c r="E81" s="98" t="s">
        <v>88</v>
      </c>
      <c r="F81" s="98">
        <v>230</v>
      </c>
      <c r="G81" s="98">
        <v>209.047</v>
      </c>
      <c r="H81" s="98">
        <v>73.599999999999994</v>
      </c>
      <c r="I81" s="98">
        <v>1.4490000000000001</v>
      </c>
      <c r="J81" s="98">
        <v>0.23</v>
      </c>
      <c r="K81" s="98">
        <v>18.584</v>
      </c>
      <c r="L81" s="98">
        <v>16.054000000000002</v>
      </c>
      <c r="M81" s="98">
        <v>3.2199999999999999E-2</v>
      </c>
      <c r="N81" s="43">
        <v>0</v>
      </c>
    </row>
    <row r="82" spans="1:14" x14ac:dyDescent="0.15">
      <c r="A82" s="68" t="s">
        <v>123</v>
      </c>
      <c r="B82" s="98" t="s">
        <v>125</v>
      </c>
      <c r="C82" s="98" t="s">
        <v>867</v>
      </c>
      <c r="D82" s="98" t="s">
        <v>554</v>
      </c>
      <c r="E82" s="98" t="s">
        <v>88</v>
      </c>
      <c r="F82" s="98">
        <v>247</v>
      </c>
      <c r="G82" s="98">
        <v>222.3</v>
      </c>
      <c r="H82" s="98">
        <v>96.33</v>
      </c>
      <c r="I82" s="98">
        <v>1.2350000000000001</v>
      </c>
      <c r="J82" s="98">
        <v>0.24700000000000003</v>
      </c>
      <c r="K82" s="98">
        <v>22.723999999999997</v>
      </c>
      <c r="L82" s="98">
        <v>22.476999999999997</v>
      </c>
      <c r="M82" s="98">
        <v>3.458E-2</v>
      </c>
      <c r="N82" s="43">
        <v>0</v>
      </c>
    </row>
    <row r="83" spans="1:14" x14ac:dyDescent="0.15">
      <c r="A83" s="68" t="s">
        <v>123</v>
      </c>
      <c r="B83" s="98" t="s">
        <v>126</v>
      </c>
      <c r="C83" s="98" t="s">
        <v>868</v>
      </c>
      <c r="D83" s="98" t="s">
        <v>429</v>
      </c>
      <c r="E83" s="98" t="s">
        <v>88</v>
      </c>
      <c r="F83" s="98">
        <v>212</v>
      </c>
      <c r="G83" s="98">
        <v>188.63760000000002</v>
      </c>
      <c r="H83" s="98">
        <v>61.48</v>
      </c>
      <c r="I83" s="98">
        <v>2.3320000000000003</v>
      </c>
      <c r="J83" s="98">
        <v>0.6359999999999999</v>
      </c>
      <c r="K83" s="98">
        <v>19.758400000000002</v>
      </c>
      <c r="L83" s="98">
        <v>5.3</v>
      </c>
      <c r="M83" s="98">
        <v>8.2680000000000003E-2</v>
      </c>
      <c r="N83" s="43">
        <v>0</v>
      </c>
    </row>
    <row r="84" spans="1:14" x14ac:dyDescent="0.15">
      <c r="A84" s="68" t="s">
        <v>123</v>
      </c>
      <c r="B84" s="98" t="s">
        <v>126</v>
      </c>
      <c r="C84" s="98" t="s">
        <v>869</v>
      </c>
      <c r="D84" s="98" t="s">
        <v>554</v>
      </c>
      <c r="E84" s="98" t="s">
        <v>88</v>
      </c>
      <c r="F84" s="98">
        <v>244</v>
      </c>
      <c r="G84" s="98">
        <v>225.2364</v>
      </c>
      <c r="H84" s="98">
        <v>53.68</v>
      </c>
      <c r="I84" s="98">
        <v>0.85399999999999987</v>
      </c>
      <c r="J84" s="98">
        <v>0.5855999999999999</v>
      </c>
      <c r="K84" s="98">
        <v>16.836000000000002</v>
      </c>
      <c r="L84" s="98">
        <v>6.1487999999999996</v>
      </c>
      <c r="M84" s="98">
        <v>9.7599999999999992E-2</v>
      </c>
      <c r="N84" s="43">
        <v>0</v>
      </c>
    </row>
    <row r="85" spans="1:14" x14ac:dyDescent="0.15">
      <c r="A85" s="68" t="s">
        <v>123</v>
      </c>
      <c r="B85" s="98" t="s">
        <v>127</v>
      </c>
      <c r="C85" s="98" t="s">
        <v>870</v>
      </c>
      <c r="D85" s="98" t="s">
        <v>429</v>
      </c>
      <c r="E85" s="98" t="s">
        <v>88</v>
      </c>
      <c r="F85" s="98">
        <v>204.25</v>
      </c>
      <c r="G85" s="98">
        <v>180.27105</v>
      </c>
      <c r="H85" s="98">
        <v>61.274999999999999</v>
      </c>
      <c r="I85" s="98">
        <v>1.4297499999999999</v>
      </c>
      <c r="J85" s="98">
        <v>0.40850000000000003</v>
      </c>
      <c r="K85" s="98">
        <v>21.527949999999997</v>
      </c>
      <c r="L85" s="98">
        <v>3.4518249999999999</v>
      </c>
      <c r="M85" s="98">
        <v>4.4935000000000003E-2</v>
      </c>
      <c r="N85" s="43">
        <v>0</v>
      </c>
    </row>
    <row r="86" spans="1:14" x14ac:dyDescent="0.15">
      <c r="A86" s="68" t="s">
        <v>123</v>
      </c>
      <c r="B86" s="98" t="s">
        <v>127</v>
      </c>
      <c r="C86" s="98" t="s">
        <v>871</v>
      </c>
      <c r="D86" s="98" t="s">
        <v>554</v>
      </c>
      <c r="E86" s="98" t="s">
        <v>88</v>
      </c>
      <c r="F86" s="98">
        <v>242</v>
      </c>
      <c r="G86" s="98">
        <v>219.71180000000001</v>
      </c>
      <c r="H86" s="98">
        <v>60.5</v>
      </c>
      <c r="I86" s="98">
        <v>1.0164</v>
      </c>
      <c r="J86" s="98">
        <v>0.16940000000000002</v>
      </c>
      <c r="K86" s="98">
        <v>20.3764</v>
      </c>
      <c r="L86" s="98">
        <v>4.0897999999999994</v>
      </c>
      <c r="M86" s="98">
        <v>1.9359999999999999E-2</v>
      </c>
      <c r="N86" s="43">
        <v>0</v>
      </c>
    </row>
    <row r="87" spans="1:14" x14ac:dyDescent="0.15">
      <c r="A87" s="68" t="s">
        <v>123</v>
      </c>
      <c r="B87" s="98" t="s">
        <v>128</v>
      </c>
      <c r="C87" s="98" t="s">
        <v>872</v>
      </c>
      <c r="D87" s="98" t="s">
        <v>429</v>
      </c>
      <c r="E87" s="98" t="s">
        <v>88</v>
      </c>
      <c r="F87" s="98">
        <v>195</v>
      </c>
      <c r="G87" s="98">
        <v>166.08150000000001</v>
      </c>
      <c r="H87" s="98">
        <v>103.35</v>
      </c>
      <c r="I87" s="98">
        <v>1.5795000000000001</v>
      </c>
      <c r="J87" s="98">
        <v>0.60450000000000004</v>
      </c>
      <c r="K87" s="98">
        <v>26.013000000000002</v>
      </c>
      <c r="L87" s="98">
        <v>20.631</v>
      </c>
      <c r="M87" s="98">
        <v>7.6050000000000006E-2</v>
      </c>
      <c r="N87" s="43">
        <v>0</v>
      </c>
    </row>
    <row r="88" spans="1:14" x14ac:dyDescent="0.15">
      <c r="A88" s="167" t="s">
        <v>388</v>
      </c>
      <c r="B88" s="154"/>
      <c r="C88" s="154"/>
      <c r="D88" s="154"/>
      <c r="E88" s="154"/>
      <c r="F88" s="154"/>
      <c r="G88" s="154"/>
      <c r="H88" s="154"/>
      <c r="I88" s="154"/>
      <c r="J88" s="154"/>
      <c r="K88" s="154"/>
      <c r="L88" s="154"/>
      <c r="M88" s="154"/>
      <c r="N88" s="155"/>
    </row>
    <row r="89" spans="1:14" x14ac:dyDescent="0.15">
      <c r="A89" s="68" t="s">
        <v>129</v>
      </c>
      <c r="B89" s="98" t="s">
        <v>130</v>
      </c>
      <c r="C89" s="98" t="s">
        <v>873</v>
      </c>
      <c r="D89" s="98" t="s">
        <v>429</v>
      </c>
      <c r="E89" s="98" t="s">
        <v>88</v>
      </c>
      <c r="F89" s="98">
        <v>125</v>
      </c>
      <c r="G89" s="98">
        <v>106.95</v>
      </c>
      <c r="H89" s="98">
        <v>65</v>
      </c>
      <c r="I89" s="98">
        <v>0.32500000000000001</v>
      </c>
      <c r="J89" s="98">
        <v>0.21249999999999999</v>
      </c>
      <c r="K89" s="98">
        <v>17.262499999999999</v>
      </c>
      <c r="L89" s="98">
        <v>12.987500000000001</v>
      </c>
      <c r="M89" s="98">
        <v>3.5000000000000003E-2</v>
      </c>
      <c r="N89" s="43">
        <v>0</v>
      </c>
    </row>
    <row r="90" spans="1:14" x14ac:dyDescent="0.15">
      <c r="A90" s="68" t="s">
        <v>129</v>
      </c>
      <c r="B90" s="98" t="s">
        <v>131</v>
      </c>
      <c r="C90" s="98" t="s">
        <v>874</v>
      </c>
      <c r="D90" s="98" t="s">
        <v>431</v>
      </c>
      <c r="E90" s="98" t="s">
        <v>88</v>
      </c>
      <c r="F90" s="98">
        <v>244</v>
      </c>
      <c r="G90" s="98">
        <v>215.2568</v>
      </c>
      <c r="H90" s="98">
        <v>102.48</v>
      </c>
      <c r="I90" s="98">
        <v>0.41480000000000006</v>
      </c>
      <c r="J90" s="98">
        <v>0.24400000000000002</v>
      </c>
      <c r="K90" s="98">
        <v>27.498800000000003</v>
      </c>
      <c r="L90" s="98">
        <v>22.911600000000004</v>
      </c>
      <c r="M90" s="98">
        <v>1.9519999999999999E-2</v>
      </c>
      <c r="N90" s="43">
        <v>0</v>
      </c>
    </row>
    <row r="91" spans="1:14" x14ac:dyDescent="0.15">
      <c r="A91" s="68" t="s">
        <v>129</v>
      </c>
      <c r="B91" s="98" t="s">
        <v>130</v>
      </c>
      <c r="C91" s="98" t="s">
        <v>875</v>
      </c>
      <c r="D91" s="98" t="s">
        <v>432</v>
      </c>
      <c r="E91" s="98" t="s">
        <v>88</v>
      </c>
      <c r="F91" s="98">
        <v>173</v>
      </c>
      <c r="G91" s="98">
        <v>150.25049999999999</v>
      </c>
      <c r="H91" s="98">
        <v>83.04</v>
      </c>
      <c r="I91" s="98">
        <v>0.48440000000000005</v>
      </c>
      <c r="J91" s="98">
        <v>0.55359999999999998</v>
      </c>
      <c r="K91" s="98">
        <v>21.296300000000002</v>
      </c>
      <c r="L91" s="98">
        <v>0</v>
      </c>
      <c r="M91" s="98">
        <v>9.1690000000000008E-2</v>
      </c>
      <c r="N91" s="43">
        <v>0</v>
      </c>
    </row>
    <row r="92" spans="1:14" x14ac:dyDescent="0.15">
      <c r="A92" s="68" t="s">
        <v>129</v>
      </c>
      <c r="B92" s="98" t="s">
        <v>130</v>
      </c>
      <c r="C92" s="98" t="s">
        <v>876</v>
      </c>
      <c r="D92" s="98" t="s">
        <v>517</v>
      </c>
      <c r="E92" s="98" t="s">
        <v>88</v>
      </c>
      <c r="F92" s="98">
        <v>86</v>
      </c>
      <c r="G92" s="98">
        <v>2.58</v>
      </c>
      <c r="H92" s="98">
        <v>208.98</v>
      </c>
      <c r="I92" s="98">
        <v>0.79980000000000007</v>
      </c>
      <c r="J92" s="98">
        <v>0.2752</v>
      </c>
      <c r="K92" s="98">
        <v>56.665399999999998</v>
      </c>
      <c r="L92" s="98">
        <v>49.183399999999999</v>
      </c>
      <c r="M92" s="98">
        <v>4.4719999999999996E-2</v>
      </c>
      <c r="N92" s="43">
        <v>0</v>
      </c>
    </row>
    <row r="93" spans="1:14" x14ac:dyDescent="0.15">
      <c r="A93" s="68" t="s">
        <v>129</v>
      </c>
      <c r="B93" s="98" t="s">
        <v>130</v>
      </c>
      <c r="C93" s="98" t="s">
        <v>877</v>
      </c>
      <c r="D93" s="98" t="s">
        <v>554</v>
      </c>
      <c r="E93" s="98" t="s">
        <v>88</v>
      </c>
      <c r="F93" s="98">
        <v>248</v>
      </c>
      <c r="G93" s="98">
        <v>218.83520000000001</v>
      </c>
      <c r="H93" s="98">
        <v>114.08</v>
      </c>
      <c r="I93" s="98">
        <v>0.248</v>
      </c>
      <c r="J93" s="98">
        <v>0.32240000000000002</v>
      </c>
      <c r="K93" s="98">
        <v>28.024000000000001</v>
      </c>
      <c r="L93" s="98">
        <v>23.857599999999998</v>
      </c>
      <c r="M93" s="98">
        <v>5.4559999999999997E-2</v>
      </c>
      <c r="N93" s="43">
        <v>0</v>
      </c>
    </row>
    <row r="94" spans="1:14" x14ac:dyDescent="0.15">
      <c r="A94" s="68" t="s">
        <v>129</v>
      </c>
      <c r="B94" s="98" t="s">
        <v>132</v>
      </c>
      <c r="C94" s="98" t="s">
        <v>878</v>
      </c>
      <c r="D94" s="98" t="s">
        <v>429</v>
      </c>
      <c r="E94" s="98" t="s">
        <v>88</v>
      </c>
      <c r="F94" s="98">
        <v>155</v>
      </c>
      <c r="G94" s="98">
        <v>133.8425</v>
      </c>
      <c r="H94" s="98">
        <v>74.400000000000006</v>
      </c>
      <c r="I94" s="98">
        <v>2.17</v>
      </c>
      <c r="J94" s="98">
        <v>0.60450000000000004</v>
      </c>
      <c r="K94" s="98">
        <v>17.236000000000001</v>
      </c>
      <c r="L94" s="98">
        <v>14.322000000000001</v>
      </c>
      <c r="M94" s="98">
        <v>4.1849999999999998E-2</v>
      </c>
      <c r="N94" s="43">
        <v>0</v>
      </c>
    </row>
    <row r="95" spans="1:14" x14ac:dyDescent="0.15">
      <c r="A95" s="68" t="s">
        <v>129</v>
      </c>
      <c r="B95" s="98" t="s">
        <v>132</v>
      </c>
      <c r="C95" s="98" t="s">
        <v>879</v>
      </c>
      <c r="D95" s="98" t="s">
        <v>431</v>
      </c>
      <c r="E95" s="98" t="s">
        <v>88</v>
      </c>
      <c r="F95" s="98">
        <v>243</v>
      </c>
      <c r="G95" s="98">
        <v>224.4348</v>
      </c>
      <c r="H95" s="98">
        <v>65.61</v>
      </c>
      <c r="I95" s="98">
        <v>1.7253000000000001</v>
      </c>
      <c r="J95" s="98">
        <v>0.38880000000000003</v>
      </c>
      <c r="K95" s="98">
        <v>15.527699999999999</v>
      </c>
      <c r="L95" s="98">
        <v>11.639699999999999</v>
      </c>
      <c r="M95" s="98">
        <v>2.673E-2</v>
      </c>
      <c r="N95" s="43">
        <v>0</v>
      </c>
    </row>
    <row r="96" spans="1:14" ht="15" x14ac:dyDescent="0.15">
      <c r="A96" s="68" t="s">
        <v>129</v>
      </c>
      <c r="B96" s="98" t="s">
        <v>132</v>
      </c>
      <c r="C96" s="98" t="s">
        <v>921</v>
      </c>
      <c r="D96" s="98" t="s">
        <v>432</v>
      </c>
      <c r="E96" s="98" t="s">
        <v>88</v>
      </c>
      <c r="F96" s="315">
        <v>155</v>
      </c>
      <c r="G96" s="315">
        <v>135.16</v>
      </c>
      <c r="H96" s="315">
        <v>71.3</v>
      </c>
      <c r="I96" s="315">
        <v>1.4259999999999999</v>
      </c>
      <c r="J96" s="315">
        <v>0.68200000000000005</v>
      </c>
      <c r="K96" s="315">
        <v>17.081</v>
      </c>
      <c r="L96" s="315">
        <v>13.981</v>
      </c>
      <c r="M96" s="315">
        <v>0.155</v>
      </c>
      <c r="N96" s="43">
        <v>0</v>
      </c>
    </row>
    <row r="97" spans="1:14" x14ac:dyDescent="0.15">
      <c r="A97" s="68" t="s">
        <v>129</v>
      </c>
      <c r="B97" s="98" t="s">
        <v>132</v>
      </c>
      <c r="C97" s="98" t="s">
        <v>880</v>
      </c>
      <c r="D97" s="98" t="s">
        <v>517</v>
      </c>
      <c r="E97" s="98" t="s">
        <v>88</v>
      </c>
      <c r="F97" s="98">
        <v>130</v>
      </c>
      <c r="G97" s="98">
        <v>40.157000000000004</v>
      </c>
      <c r="H97" s="98">
        <v>313.3</v>
      </c>
      <c r="I97" s="98">
        <v>4.407</v>
      </c>
      <c r="J97" s="98">
        <v>0.66299999999999992</v>
      </c>
      <c r="K97" s="98">
        <v>81.432000000000002</v>
      </c>
      <c r="L97" s="98">
        <v>69.471999999999994</v>
      </c>
      <c r="M97" s="98">
        <v>2.2099999999999998E-2</v>
      </c>
      <c r="N97" s="43">
        <v>0</v>
      </c>
    </row>
    <row r="98" spans="1:14" x14ac:dyDescent="0.15">
      <c r="A98" s="68" t="s">
        <v>129</v>
      </c>
      <c r="B98" s="98" t="s">
        <v>133</v>
      </c>
      <c r="C98" s="98" t="s">
        <v>881</v>
      </c>
      <c r="D98" s="98" t="s">
        <v>429</v>
      </c>
      <c r="E98" s="98" t="s">
        <v>88</v>
      </c>
      <c r="F98" s="98">
        <v>150</v>
      </c>
      <c r="G98" s="98">
        <v>109.845</v>
      </c>
      <c r="H98" s="98">
        <v>240</v>
      </c>
      <c r="I98" s="98">
        <v>3</v>
      </c>
      <c r="J98" s="98">
        <v>21.99</v>
      </c>
      <c r="K98" s="98">
        <v>12.795</v>
      </c>
      <c r="L98" s="98">
        <v>0.99</v>
      </c>
      <c r="M98" s="98">
        <v>3.1889999999999996</v>
      </c>
      <c r="N98" s="43">
        <v>0</v>
      </c>
    </row>
    <row r="99" spans="1:14" x14ac:dyDescent="0.15">
      <c r="A99" s="68" t="s">
        <v>129</v>
      </c>
      <c r="B99" s="98" t="s">
        <v>134</v>
      </c>
      <c r="C99" s="98" t="s">
        <v>882</v>
      </c>
      <c r="D99" s="98" t="s">
        <v>429</v>
      </c>
      <c r="E99" s="98" t="s">
        <v>88</v>
      </c>
      <c r="F99" s="98">
        <v>225</v>
      </c>
      <c r="G99" s="98">
        <v>168.54750000000001</v>
      </c>
      <c r="H99" s="98">
        <v>200.25</v>
      </c>
      <c r="I99" s="98">
        <v>2.4525000000000001</v>
      </c>
      <c r="J99" s="98">
        <v>0.74250000000000005</v>
      </c>
      <c r="K99" s="98">
        <v>51.39</v>
      </c>
      <c r="L99" s="98">
        <v>27.517499999999998</v>
      </c>
      <c r="M99" s="98">
        <v>0.252</v>
      </c>
      <c r="N99" s="43">
        <v>0</v>
      </c>
    </row>
    <row r="100" spans="1:14" x14ac:dyDescent="0.15">
      <c r="A100" s="68" t="s">
        <v>129</v>
      </c>
      <c r="B100" s="98" t="s">
        <v>135</v>
      </c>
      <c r="C100" s="98" t="s">
        <v>883</v>
      </c>
      <c r="D100" s="98" t="s">
        <v>432</v>
      </c>
      <c r="E100" s="98" t="s">
        <v>88</v>
      </c>
      <c r="F100" s="98">
        <v>144</v>
      </c>
      <c r="G100" s="98">
        <v>126.93600000000001</v>
      </c>
      <c r="H100" s="98">
        <v>61.92</v>
      </c>
      <c r="I100" s="98">
        <v>2.0015999999999998</v>
      </c>
      <c r="J100" s="98">
        <v>0.7056</v>
      </c>
      <c r="K100" s="98">
        <v>13.8384</v>
      </c>
      <c r="L100" s="98">
        <v>7.0272000000000006</v>
      </c>
      <c r="M100" s="98">
        <v>2.0160000000000001E-2</v>
      </c>
      <c r="N100" s="43">
        <v>0</v>
      </c>
    </row>
    <row r="101" spans="1:14" x14ac:dyDescent="0.15">
      <c r="A101" s="68" t="s">
        <v>129</v>
      </c>
      <c r="B101" s="98" t="s">
        <v>136</v>
      </c>
      <c r="C101" s="98" t="s">
        <v>884</v>
      </c>
      <c r="D101" s="98" t="s">
        <v>429</v>
      </c>
      <c r="E101" s="98" t="s">
        <v>88</v>
      </c>
      <c r="F101" s="98">
        <v>148</v>
      </c>
      <c r="G101" s="98">
        <v>124.63079999999999</v>
      </c>
      <c r="H101" s="98">
        <v>84.36</v>
      </c>
      <c r="I101" s="98">
        <v>1.0952</v>
      </c>
      <c r="J101" s="98">
        <v>0.48840000000000006</v>
      </c>
      <c r="K101" s="98">
        <v>21.4452</v>
      </c>
      <c r="L101" s="98">
        <v>14.740800000000002</v>
      </c>
      <c r="M101" s="98">
        <v>4.1440000000000005E-2</v>
      </c>
      <c r="N101" s="43">
        <v>0</v>
      </c>
    </row>
    <row r="102" spans="1:14" x14ac:dyDescent="0.15">
      <c r="A102" s="68" t="s">
        <v>129</v>
      </c>
      <c r="B102" s="98" t="s">
        <v>136</v>
      </c>
      <c r="C102" s="98" t="s">
        <v>885</v>
      </c>
      <c r="D102" s="98" t="s">
        <v>432</v>
      </c>
      <c r="E102" s="98" t="s">
        <v>88</v>
      </c>
      <c r="F102" s="98">
        <v>155</v>
      </c>
      <c r="G102" s="98">
        <v>134.21450000000002</v>
      </c>
      <c r="H102" s="98">
        <v>79.05</v>
      </c>
      <c r="I102" s="98">
        <v>0.65099999999999991</v>
      </c>
      <c r="J102" s="98">
        <v>0.99199999999999999</v>
      </c>
      <c r="K102" s="98">
        <v>18.863499999999998</v>
      </c>
      <c r="L102" s="98">
        <v>13.0975</v>
      </c>
      <c r="M102" s="98">
        <v>8.2150000000000001E-2</v>
      </c>
      <c r="N102" s="43">
        <v>0</v>
      </c>
    </row>
    <row r="103" spans="1:14" x14ac:dyDescent="0.15">
      <c r="A103" s="68" t="s">
        <v>129</v>
      </c>
      <c r="B103" s="98" t="s">
        <v>137</v>
      </c>
      <c r="C103" s="98" t="s">
        <v>886</v>
      </c>
      <c r="D103" s="98" t="s">
        <v>429</v>
      </c>
      <c r="E103" s="98" t="s">
        <v>88</v>
      </c>
      <c r="F103" s="98">
        <v>177</v>
      </c>
      <c r="G103" s="98">
        <v>159.56550000000001</v>
      </c>
      <c r="H103" s="98">
        <v>60.18</v>
      </c>
      <c r="I103" s="98">
        <v>1.4868000000000001</v>
      </c>
      <c r="J103" s="98">
        <v>0.33630000000000004</v>
      </c>
      <c r="K103" s="98">
        <v>14.443199999999999</v>
      </c>
      <c r="L103" s="98">
        <v>13.9122</v>
      </c>
      <c r="M103" s="98">
        <v>9.0269999999999989E-2</v>
      </c>
      <c r="N103" s="43">
        <v>0</v>
      </c>
    </row>
    <row r="104" spans="1:14" x14ac:dyDescent="0.15">
      <c r="A104" s="68" t="s">
        <v>129</v>
      </c>
      <c r="B104" s="98" t="s">
        <v>138</v>
      </c>
      <c r="C104" s="98" t="s">
        <v>887</v>
      </c>
      <c r="D104" s="98" t="s">
        <v>429</v>
      </c>
      <c r="E104" s="98" t="s">
        <v>88</v>
      </c>
      <c r="F104" s="98">
        <v>138</v>
      </c>
      <c r="G104" s="98">
        <v>113.505</v>
      </c>
      <c r="H104" s="98">
        <v>86.94</v>
      </c>
      <c r="I104" s="98">
        <v>1.4628000000000001</v>
      </c>
      <c r="J104" s="98">
        <v>0.27600000000000002</v>
      </c>
      <c r="K104" s="98">
        <v>22.093800000000002</v>
      </c>
      <c r="L104" s="98">
        <v>17.691600000000001</v>
      </c>
      <c r="M104" s="98">
        <v>5.2440000000000001E-2</v>
      </c>
      <c r="N104" s="43">
        <v>0</v>
      </c>
    </row>
    <row r="105" spans="1:14" x14ac:dyDescent="0.15">
      <c r="A105" s="68" t="s">
        <v>129</v>
      </c>
      <c r="B105" s="98" t="s">
        <v>138</v>
      </c>
      <c r="C105" s="98" t="s">
        <v>888</v>
      </c>
      <c r="D105" s="98" t="s">
        <v>431</v>
      </c>
      <c r="E105" s="98" t="s">
        <v>88</v>
      </c>
      <c r="F105" s="98">
        <v>248</v>
      </c>
      <c r="G105" s="98">
        <v>215.88399999999999</v>
      </c>
      <c r="H105" s="98">
        <v>114.08</v>
      </c>
      <c r="I105" s="98">
        <v>1.9096000000000002</v>
      </c>
      <c r="J105" s="98">
        <v>0.32240000000000002</v>
      </c>
      <c r="K105" s="98">
        <v>29.1648</v>
      </c>
      <c r="L105" s="98">
        <v>25.444800000000001</v>
      </c>
      <c r="M105" s="98">
        <v>6.9440000000000002E-2</v>
      </c>
      <c r="N105" s="43">
        <v>0</v>
      </c>
    </row>
    <row r="106" spans="1:14" x14ac:dyDescent="0.15">
      <c r="A106" s="68" t="s">
        <v>129</v>
      </c>
      <c r="B106" s="98" t="s">
        <v>138</v>
      </c>
      <c r="C106" s="98" t="s">
        <v>889</v>
      </c>
      <c r="D106" s="98" t="s">
        <v>432</v>
      </c>
      <c r="E106" s="98" t="s">
        <v>88</v>
      </c>
      <c r="F106" s="98">
        <v>155</v>
      </c>
      <c r="G106" s="98">
        <v>135.16</v>
      </c>
      <c r="H106" s="98">
        <v>71.3</v>
      </c>
      <c r="I106" s="98">
        <v>1.4259999999999999</v>
      </c>
      <c r="J106" s="98">
        <v>0.68200000000000005</v>
      </c>
      <c r="K106" s="98">
        <v>17.081</v>
      </c>
      <c r="L106" s="98">
        <v>13.981</v>
      </c>
      <c r="M106" s="98">
        <v>0.155</v>
      </c>
      <c r="N106" s="43">
        <v>0</v>
      </c>
    </row>
    <row r="107" spans="1:14" x14ac:dyDescent="0.15">
      <c r="A107" s="68" t="s">
        <v>129</v>
      </c>
      <c r="B107" s="98" t="s">
        <v>139</v>
      </c>
      <c r="C107" s="98" t="s">
        <v>890</v>
      </c>
      <c r="D107" s="98" t="s">
        <v>429</v>
      </c>
      <c r="E107" s="98" t="s">
        <v>88</v>
      </c>
      <c r="F107" s="98">
        <v>110</v>
      </c>
      <c r="G107" s="98">
        <v>95.842999999999989</v>
      </c>
      <c r="H107" s="98">
        <v>50.6</v>
      </c>
      <c r="I107" s="98">
        <v>0.42899999999999999</v>
      </c>
      <c r="J107" s="98">
        <v>0.14300000000000002</v>
      </c>
      <c r="K107" s="98">
        <v>13.42</v>
      </c>
      <c r="L107" s="98">
        <v>4.444</v>
      </c>
      <c r="M107" s="98">
        <v>1.21E-2</v>
      </c>
      <c r="N107" s="43">
        <v>0</v>
      </c>
    </row>
    <row r="108" spans="1:14" x14ac:dyDescent="0.15">
      <c r="A108" s="68" t="s">
        <v>129</v>
      </c>
      <c r="B108" s="98" t="s">
        <v>139</v>
      </c>
      <c r="C108" s="98" t="s">
        <v>891</v>
      </c>
      <c r="D108" s="98" t="s">
        <v>554</v>
      </c>
      <c r="E108" s="98" t="s">
        <v>88</v>
      </c>
      <c r="F108" s="98">
        <v>253</v>
      </c>
      <c r="G108" s="98">
        <v>220.43889999999999</v>
      </c>
      <c r="H108" s="98">
        <v>116.38</v>
      </c>
      <c r="I108" s="98">
        <v>0.98670000000000002</v>
      </c>
      <c r="J108" s="98">
        <v>0.32890000000000003</v>
      </c>
      <c r="K108" s="98">
        <v>30.866</v>
      </c>
      <c r="L108" s="98">
        <v>30.612999999999996</v>
      </c>
      <c r="M108" s="98">
        <v>2.5300000000000003E-2</v>
      </c>
      <c r="N108" s="43">
        <v>0</v>
      </c>
    </row>
    <row r="109" spans="1:14" x14ac:dyDescent="0.15">
      <c r="A109" s="68" t="s">
        <v>129</v>
      </c>
      <c r="B109" s="98" t="s">
        <v>140</v>
      </c>
      <c r="C109" s="98" t="s">
        <v>892</v>
      </c>
      <c r="D109" s="98" t="s">
        <v>517</v>
      </c>
      <c r="E109" s="98" t="s">
        <v>88</v>
      </c>
      <c r="F109" s="98">
        <v>147</v>
      </c>
      <c r="G109" s="98">
        <v>30.179100000000002</v>
      </c>
      <c r="H109" s="98">
        <v>414.54</v>
      </c>
      <c r="I109" s="98">
        <v>3.6015000000000001</v>
      </c>
      <c r="J109" s="98">
        <v>0.57330000000000003</v>
      </c>
      <c r="K109" s="98">
        <v>110.2941</v>
      </c>
      <c r="L109" s="98">
        <v>93.124500000000012</v>
      </c>
      <c r="M109" s="98">
        <v>4.7039999999999998E-2</v>
      </c>
      <c r="N109" s="43">
        <v>0</v>
      </c>
    </row>
    <row r="110" spans="1:14" x14ac:dyDescent="0.15">
      <c r="A110" s="68" t="s">
        <v>129</v>
      </c>
      <c r="B110" s="98" t="s">
        <v>141</v>
      </c>
      <c r="C110" s="98" t="s">
        <v>893</v>
      </c>
      <c r="D110" s="98" t="s">
        <v>517</v>
      </c>
      <c r="E110" s="98" t="s">
        <v>88</v>
      </c>
      <c r="F110" s="98">
        <v>149</v>
      </c>
      <c r="G110" s="98">
        <v>117.87389999999999</v>
      </c>
      <c r="H110" s="98">
        <v>371.01</v>
      </c>
      <c r="I110" s="98">
        <v>4.9169999999999998</v>
      </c>
      <c r="J110" s="98">
        <v>1.3856999999999999</v>
      </c>
      <c r="K110" s="98">
        <v>95.166299999999993</v>
      </c>
      <c r="L110" s="98">
        <v>71.400800000000004</v>
      </c>
      <c r="M110" s="98">
        <v>0.21456</v>
      </c>
      <c r="N110" s="43">
        <v>0</v>
      </c>
    </row>
    <row r="111" spans="1:14" x14ac:dyDescent="0.15">
      <c r="A111" s="68" t="s">
        <v>129</v>
      </c>
      <c r="B111" s="98" t="s">
        <v>142</v>
      </c>
      <c r="C111" s="98" t="s">
        <v>894</v>
      </c>
      <c r="D111" s="98" t="s">
        <v>429</v>
      </c>
      <c r="E111" s="98" t="s">
        <v>88</v>
      </c>
      <c r="F111" s="98">
        <v>92</v>
      </c>
      <c r="G111" s="98">
        <v>74.795999999999992</v>
      </c>
      <c r="H111" s="98">
        <v>61.64</v>
      </c>
      <c r="I111" s="98">
        <v>0.5796</v>
      </c>
      <c r="J111" s="98">
        <v>0.32199999999999995</v>
      </c>
      <c r="K111" s="98">
        <v>15.777999999999999</v>
      </c>
      <c r="L111" s="98">
        <v>14.95</v>
      </c>
      <c r="M111" s="98">
        <v>0.10488</v>
      </c>
      <c r="N111" s="43">
        <v>0</v>
      </c>
    </row>
    <row r="112" spans="1:14" x14ac:dyDescent="0.15">
      <c r="A112" s="68" t="s">
        <v>129</v>
      </c>
      <c r="B112" s="98" t="s">
        <v>142</v>
      </c>
      <c r="C112" s="98" t="s">
        <v>895</v>
      </c>
      <c r="D112" s="98" t="s">
        <v>554</v>
      </c>
      <c r="E112" s="98" t="s">
        <v>88</v>
      </c>
      <c r="F112" s="98">
        <v>253</v>
      </c>
      <c r="G112" s="98">
        <v>213.81030000000001</v>
      </c>
      <c r="H112" s="98">
        <v>151.80000000000001</v>
      </c>
      <c r="I112" s="98">
        <v>0.93610000000000004</v>
      </c>
      <c r="J112" s="98">
        <v>0.32890000000000003</v>
      </c>
      <c r="K112" s="98">
        <v>37.368099999999998</v>
      </c>
      <c r="L112" s="98">
        <v>35.926000000000002</v>
      </c>
      <c r="M112" s="98">
        <v>6.3250000000000001E-2</v>
      </c>
      <c r="N112" s="43">
        <v>0</v>
      </c>
    </row>
    <row r="113" spans="1:14" x14ac:dyDescent="0.15">
      <c r="A113" s="68" t="s">
        <v>129</v>
      </c>
      <c r="B113" s="98" t="s">
        <v>143</v>
      </c>
      <c r="C113" s="98" t="s">
        <v>896</v>
      </c>
      <c r="D113" s="98" t="s">
        <v>429</v>
      </c>
      <c r="E113" s="98" t="s">
        <v>88</v>
      </c>
      <c r="F113" s="98">
        <v>177</v>
      </c>
      <c r="G113" s="98">
        <v>158.98140000000001</v>
      </c>
      <c r="H113" s="98">
        <v>63.72</v>
      </c>
      <c r="I113" s="98">
        <v>0.95580000000000009</v>
      </c>
      <c r="J113" s="98">
        <v>0.24780000000000002</v>
      </c>
      <c r="K113" s="98">
        <v>16.089300000000001</v>
      </c>
      <c r="L113" s="98">
        <v>14.372399999999997</v>
      </c>
      <c r="M113" s="98">
        <v>6.726E-2</v>
      </c>
      <c r="N113" s="43">
        <v>0</v>
      </c>
    </row>
    <row r="114" spans="1:14" x14ac:dyDescent="0.15">
      <c r="A114" s="68" t="s">
        <v>129</v>
      </c>
      <c r="B114" s="98" t="s">
        <v>144</v>
      </c>
      <c r="C114" s="98" t="s">
        <v>897</v>
      </c>
      <c r="D114" s="98" t="s">
        <v>429</v>
      </c>
      <c r="E114" s="98" t="s">
        <v>88</v>
      </c>
      <c r="F114" s="98">
        <v>180</v>
      </c>
      <c r="G114" s="98">
        <v>149.52599999999998</v>
      </c>
      <c r="H114" s="98">
        <v>109.8</v>
      </c>
      <c r="I114" s="98">
        <v>2.052</v>
      </c>
      <c r="J114" s="98">
        <v>0.93600000000000005</v>
      </c>
      <c r="K114" s="98">
        <v>26.388000000000002</v>
      </c>
      <c r="L114" s="98">
        <v>16.182000000000002</v>
      </c>
      <c r="M114" s="98">
        <v>5.2200000000000003E-2</v>
      </c>
      <c r="N114" s="43">
        <v>0</v>
      </c>
    </row>
    <row r="115" spans="1:14" x14ac:dyDescent="0.15">
      <c r="A115" s="68" t="s">
        <v>129</v>
      </c>
      <c r="B115" s="98" t="s">
        <v>145</v>
      </c>
      <c r="C115" s="98" t="s">
        <v>898</v>
      </c>
      <c r="D115" s="98" t="s">
        <v>429</v>
      </c>
      <c r="E115" s="98" t="s">
        <v>88</v>
      </c>
      <c r="F115" s="98">
        <v>165</v>
      </c>
      <c r="G115" s="98">
        <v>137.709</v>
      </c>
      <c r="H115" s="98">
        <v>99</v>
      </c>
      <c r="I115" s="98">
        <v>1.3529999999999998</v>
      </c>
      <c r="J115" s="98">
        <v>0.627</v>
      </c>
      <c r="K115" s="98">
        <v>24.717000000000002</v>
      </c>
      <c r="L115" s="98">
        <v>22.539000000000001</v>
      </c>
      <c r="M115" s="98">
        <v>0.15179999999999999</v>
      </c>
      <c r="N115" s="43">
        <v>0</v>
      </c>
    </row>
    <row r="116" spans="1:14" x14ac:dyDescent="0.15">
      <c r="A116" s="68" t="s">
        <v>129</v>
      </c>
      <c r="B116" s="98" t="s">
        <v>146</v>
      </c>
      <c r="C116" s="98" t="s">
        <v>899</v>
      </c>
      <c r="D116" s="98" t="s">
        <v>431</v>
      </c>
      <c r="E116" s="98" t="s">
        <v>88</v>
      </c>
      <c r="F116" s="98">
        <v>144</v>
      </c>
      <c r="G116" s="98">
        <v>115.18559999999999</v>
      </c>
      <c r="H116" s="98">
        <v>165.6</v>
      </c>
      <c r="I116" s="98">
        <v>1.2096</v>
      </c>
      <c r="J116" s="98">
        <v>15.379200000000001</v>
      </c>
      <c r="K116" s="98">
        <v>9.0144000000000002</v>
      </c>
      <c r="L116" s="98">
        <v>0</v>
      </c>
      <c r="M116" s="98">
        <v>2.0375999999999999</v>
      </c>
      <c r="N116" s="43">
        <v>0</v>
      </c>
    </row>
    <row r="117" spans="1:14" x14ac:dyDescent="0.15">
      <c r="A117" s="68" t="s">
        <v>129</v>
      </c>
      <c r="B117" s="98" t="s">
        <v>147</v>
      </c>
      <c r="C117" s="98" t="s">
        <v>900</v>
      </c>
      <c r="D117" s="98" t="s">
        <v>429</v>
      </c>
      <c r="E117" s="98" t="s">
        <v>88</v>
      </c>
      <c r="F117" s="98">
        <v>154</v>
      </c>
      <c r="G117" s="98">
        <v>136.85980000000001</v>
      </c>
      <c r="H117" s="98">
        <v>60.06</v>
      </c>
      <c r="I117" s="98">
        <v>1.4014000000000002</v>
      </c>
      <c r="J117" s="98">
        <v>0.38500000000000001</v>
      </c>
      <c r="K117" s="98">
        <v>14.691599999999999</v>
      </c>
      <c r="L117" s="98">
        <v>12.920600000000002</v>
      </c>
      <c r="M117" s="98">
        <v>2.9259999999999998E-2</v>
      </c>
      <c r="N117" s="43">
        <v>0</v>
      </c>
    </row>
    <row r="118" spans="1:14" x14ac:dyDescent="0.15">
      <c r="A118" s="68" t="s">
        <v>129</v>
      </c>
      <c r="B118" s="98" t="s">
        <v>147</v>
      </c>
      <c r="C118" s="98" t="s">
        <v>901</v>
      </c>
      <c r="D118" s="98" t="s">
        <v>431</v>
      </c>
      <c r="E118" s="98" t="s">
        <v>88</v>
      </c>
      <c r="F118" s="98">
        <v>244</v>
      </c>
      <c r="G118" s="98">
        <v>227.23719999999997</v>
      </c>
      <c r="H118" s="98">
        <v>58.56</v>
      </c>
      <c r="I118" s="98">
        <v>1.0735999999999999</v>
      </c>
      <c r="J118" s="98">
        <v>0.14639999999999997</v>
      </c>
      <c r="K118" s="98">
        <v>14.908400000000002</v>
      </c>
      <c r="L118" s="98">
        <v>11.736399999999998</v>
      </c>
      <c r="M118" s="98">
        <v>1.464E-2</v>
      </c>
      <c r="N118" s="43">
        <v>0</v>
      </c>
    </row>
    <row r="119" spans="1:14" ht="15" x14ac:dyDescent="0.15">
      <c r="A119" s="68" t="s">
        <v>129</v>
      </c>
      <c r="B119" s="98" t="s">
        <v>147</v>
      </c>
      <c r="C119" s="315" t="s">
        <v>921</v>
      </c>
      <c r="D119" s="98" t="s">
        <v>432</v>
      </c>
      <c r="E119" s="98" t="s">
        <v>88</v>
      </c>
      <c r="F119" s="315">
        <v>155</v>
      </c>
      <c r="G119" s="315">
        <v>135.16</v>
      </c>
      <c r="H119" s="315">
        <v>71.3</v>
      </c>
      <c r="I119" s="315">
        <v>1.4259999999999999</v>
      </c>
      <c r="J119" s="315">
        <v>0.68200000000000005</v>
      </c>
      <c r="K119" s="315">
        <v>17.081</v>
      </c>
      <c r="L119" s="315">
        <v>13.981</v>
      </c>
      <c r="M119" s="315">
        <v>0.155</v>
      </c>
      <c r="N119" s="43">
        <v>0</v>
      </c>
    </row>
    <row r="120" spans="1:14" x14ac:dyDescent="0.15">
      <c r="A120" s="68" t="s">
        <v>129</v>
      </c>
      <c r="B120" s="98" t="s">
        <v>147</v>
      </c>
      <c r="C120" s="98" t="s">
        <v>902</v>
      </c>
      <c r="D120" s="98" t="s">
        <v>517</v>
      </c>
      <c r="E120" s="98" t="s">
        <v>88</v>
      </c>
      <c r="F120" s="98">
        <v>160</v>
      </c>
      <c r="G120" s="98">
        <v>50.88</v>
      </c>
      <c r="H120" s="98">
        <v>382.4</v>
      </c>
      <c r="I120" s="98">
        <v>5.7759999999999998</v>
      </c>
      <c r="J120" s="98">
        <v>1.216</v>
      </c>
      <c r="K120" s="98">
        <v>98.127999999999986</v>
      </c>
      <c r="L120" s="98">
        <v>66.784000000000006</v>
      </c>
      <c r="M120" s="98">
        <v>0.13120000000000001</v>
      </c>
      <c r="N120" s="43">
        <v>0</v>
      </c>
    </row>
    <row r="121" spans="1:14" x14ac:dyDescent="0.15">
      <c r="A121" s="68" t="s">
        <v>129</v>
      </c>
      <c r="B121" s="98" t="s">
        <v>148</v>
      </c>
      <c r="C121" s="98" t="s">
        <v>903</v>
      </c>
      <c r="D121" s="98" t="s">
        <v>429</v>
      </c>
      <c r="E121" s="98" t="s">
        <v>88</v>
      </c>
      <c r="F121" s="98">
        <v>125</v>
      </c>
      <c r="G121" s="98">
        <v>104.6375</v>
      </c>
      <c r="H121" s="98">
        <v>72.5</v>
      </c>
      <c r="I121" s="98">
        <v>0.47499999999999998</v>
      </c>
      <c r="J121" s="98">
        <v>0.15</v>
      </c>
      <c r="K121" s="98">
        <v>19.324999999999999</v>
      </c>
      <c r="L121" s="98">
        <v>12.25</v>
      </c>
      <c r="M121" s="98">
        <v>7.4999999999999997E-3</v>
      </c>
      <c r="N121" s="43">
        <v>0</v>
      </c>
    </row>
    <row r="122" spans="1:14" x14ac:dyDescent="0.15">
      <c r="A122" s="68" t="s">
        <v>129</v>
      </c>
      <c r="B122" s="98" t="s">
        <v>148</v>
      </c>
      <c r="C122" s="98" t="s">
        <v>904</v>
      </c>
      <c r="D122" s="98" t="s">
        <v>431</v>
      </c>
      <c r="E122" s="98" t="s">
        <v>88</v>
      </c>
      <c r="F122" s="98">
        <v>244</v>
      </c>
      <c r="G122" s="98">
        <v>224.0164</v>
      </c>
      <c r="H122" s="98">
        <v>70.760000000000005</v>
      </c>
      <c r="I122" s="98">
        <v>0.46360000000000001</v>
      </c>
      <c r="J122" s="98">
        <v>7.3199999999999987E-2</v>
      </c>
      <c r="K122" s="98">
        <v>19.0564</v>
      </c>
      <c r="L122" s="98">
        <v>14.883999999999999</v>
      </c>
      <c r="M122" s="98">
        <v>4.8799999999999998E-3</v>
      </c>
      <c r="N122" s="43">
        <v>0</v>
      </c>
    </row>
    <row r="123" spans="1:14" x14ac:dyDescent="0.15">
      <c r="A123" s="68" t="s">
        <v>129</v>
      </c>
      <c r="B123" s="98" t="s">
        <v>148</v>
      </c>
      <c r="C123" s="98" t="s">
        <v>905</v>
      </c>
      <c r="D123" s="98" t="s">
        <v>517</v>
      </c>
      <c r="E123" s="98" t="s">
        <v>88</v>
      </c>
      <c r="F123" s="98">
        <v>180</v>
      </c>
      <c r="G123" s="98">
        <v>48.042000000000002</v>
      </c>
      <c r="H123" s="98">
        <v>471.6</v>
      </c>
      <c r="I123" s="98">
        <v>3.3660000000000001</v>
      </c>
      <c r="J123" s="98">
        <v>1.1340000000000001</v>
      </c>
      <c r="K123" s="98">
        <v>125.46</v>
      </c>
      <c r="L123" s="98">
        <v>111.96</v>
      </c>
      <c r="M123" s="98">
        <v>6.3E-2</v>
      </c>
      <c r="N123" s="43">
        <v>0</v>
      </c>
    </row>
    <row r="124" spans="1:14" x14ac:dyDescent="0.15">
      <c r="A124" s="68" t="s">
        <v>129</v>
      </c>
      <c r="B124" s="98" t="s">
        <v>149</v>
      </c>
      <c r="C124" s="98" t="s">
        <v>906</v>
      </c>
      <c r="D124" s="98" t="s">
        <v>429</v>
      </c>
      <c r="E124" s="98" t="s">
        <v>88</v>
      </c>
      <c r="F124" s="98">
        <v>165</v>
      </c>
      <c r="G124" s="98">
        <v>141.9</v>
      </c>
      <c r="H124" s="98">
        <v>82.5</v>
      </c>
      <c r="I124" s="98">
        <v>0.89100000000000013</v>
      </c>
      <c r="J124" s="98">
        <v>0.19800000000000001</v>
      </c>
      <c r="K124" s="98">
        <v>21.647999999999996</v>
      </c>
      <c r="L124" s="98">
        <v>16.252500000000001</v>
      </c>
      <c r="M124" s="98">
        <v>1.4849999999999999E-2</v>
      </c>
      <c r="N124" s="43">
        <v>0</v>
      </c>
    </row>
    <row r="125" spans="1:14" x14ac:dyDescent="0.15">
      <c r="A125" s="68" t="s">
        <v>129</v>
      </c>
      <c r="B125" s="98" t="s">
        <v>149</v>
      </c>
      <c r="C125" s="98" t="s">
        <v>907</v>
      </c>
      <c r="D125" s="98" t="s">
        <v>431</v>
      </c>
      <c r="E125" s="98" t="s">
        <v>88</v>
      </c>
      <c r="F125" s="98">
        <v>246</v>
      </c>
      <c r="G125" s="98">
        <v>223.41719999999998</v>
      </c>
      <c r="H125" s="98">
        <v>78.72</v>
      </c>
      <c r="I125" s="98">
        <v>1.0578000000000001</v>
      </c>
      <c r="J125" s="98">
        <v>0.22140000000000001</v>
      </c>
      <c r="K125" s="98">
        <v>20.418000000000003</v>
      </c>
      <c r="L125" s="98">
        <v>18.45</v>
      </c>
      <c r="M125" s="98">
        <v>1.4760000000000001E-2</v>
      </c>
      <c r="N125" s="43">
        <v>0</v>
      </c>
    </row>
    <row r="126" spans="1:14" x14ac:dyDescent="0.15">
      <c r="A126" s="68" t="s">
        <v>129</v>
      </c>
      <c r="B126" s="98" t="s">
        <v>149</v>
      </c>
      <c r="C126" s="98" t="s">
        <v>908</v>
      </c>
      <c r="D126" s="98" t="s">
        <v>554</v>
      </c>
      <c r="E126" s="98" t="s">
        <v>88</v>
      </c>
      <c r="F126" s="98">
        <v>250</v>
      </c>
      <c r="G126" s="98">
        <v>215.92500000000001</v>
      </c>
      <c r="H126" s="98">
        <v>132.5</v>
      </c>
      <c r="I126" s="98">
        <v>0.9</v>
      </c>
      <c r="J126" s="98">
        <v>0.3</v>
      </c>
      <c r="K126" s="98">
        <v>32.174999999999997</v>
      </c>
      <c r="L126" s="98">
        <v>24.95</v>
      </c>
      <c r="M126" s="98">
        <v>0.02</v>
      </c>
      <c r="N126" s="43">
        <v>0</v>
      </c>
    </row>
    <row r="127" spans="1:14" x14ac:dyDescent="0.15">
      <c r="A127" s="68" t="s">
        <v>129</v>
      </c>
      <c r="B127" s="98" t="s">
        <v>150</v>
      </c>
      <c r="C127" s="98" t="s">
        <v>909</v>
      </c>
      <c r="D127" s="98" t="s">
        <v>429</v>
      </c>
      <c r="E127" s="98" t="s">
        <v>88</v>
      </c>
      <c r="F127" s="98">
        <v>145</v>
      </c>
      <c r="G127" s="98">
        <v>127.68700000000001</v>
      </c>
      <c r="H127" s="98">
        <v>62.35</v>
      </c>
      <c r="I127" s="98">
        <v>0.68149999999999988</v>
      </c>
      <c r="J127" s="98">
        <v>0.377</v>
      </c>
      <c r="K127" s="98">
        <v>15.689</v>
      </c>
      <c r="L127" s="98">
        <v>11.339</v>
      </c>
      <c r="M127" s="98">
        <v>0.11745000000000001</v>
      </c>
      <c r="N127" s="43">
        <v>0</v>
      </c>
    </row>
    <row r="128" spans="1:14" x14ac:dyDescent="0.15">
      <c r="A128" s="68" t="s">
        <v>129</v>
      </c>
      <c r="B128" s="98" t="s">
        <v>151</v>
      </c>
      <c r="C128" s="98" t="s">
        <v>910</v>
      </c>
      <c r="D128" s="98" t="s">
        <v>429</v>
      </c>
      <c r="E128" s="98" t="s">
        <v>88</v>
      </c>
      <c r="F128" s="98">
        <v>165</v>
      </c>
      <c r="G128" s="98">
        <v>143.92950000000002</v>
      </c>
      <c r="H128" s="98">
        <v>75.900000000000006</v>
      </c>
      <c r="I128" s="98">
        <v>1.1549999999999998</v>
      </c>
      <c r="J128" s="98">
        <v>0.46200000000000002</v>
      </c>
      <c r="K128" s="98">
        <v>18.843</v>
      </c>
      <c r="L128" s="98">
        <v>16.367999999999999</v>
      </c>
      <c r="M128" s="98">
        <v>2.8050000000000002E-2</v>
      </c>
      <c r="N128" s="43">
        <v>0</v>
      </c>
    </row>
    <row r="129" spans="1:14" x14ac:dyDescent="0.15">
      <c r="A129" s="68" t="s">
        <v>129</v>
      </c>
      <c r="B129" s="98" t="s">
        <v>151</v>
      </c>
      <c r="C129" s="98" t="s">
        <v>911</v>
      </c>
      <c r="D129" s="98" t="s">
        <v>431</v>
      </c>
      <c r="E129" s="98" t="s">
        <v>88</v>
      </c>
      <c r="F129" s="98">
        <v>249</v>
      </c>
      <c r="G129" s="98">
        <v>219.99149999999997</v>
      </c>
      <c r="H129" s="98">
        <v>102.09</v>
      </c>
      <c r="I129" s="98">
        <v>0.97109999999999996</v>
      </c>
      <c r="J129" s="98">
        <v>2.4900000000000002E-2</v>
      </c>
      <c r="K129" s="98">
        <v>27.464699999999997</v>
      </c>
      <c r="L129" s="98">
        <v>25.149000000000001</v>
      </c>
      <c r="M129" s="98">
        <v>2.49E-3</v>
      </c>
      <c r="N129" s="43">
        <v>0</v>
      </c>
    </row>
    <row r="130" spans="1:14" ht="15" x14ac:dyDescent="0.15">
      <c r="A130" s="68" t="s">
        <v>129</v>
      </c>
      <c r="B130" s="98" t="s">
        <v>152</v>
      </c>
      <c r="C130" s="315" t="s">
        <v>921</v>
      </c>
      <c r="D130" s="98" t="s">
        <v>432</v>
      </c>
      <c r="E130" s="98" t="s">
        <v>88</v>
      </c>
      <c r="F130" s="315">
        <v>155</v>
      </c>
      <c r="G130" s="315">
        <v>135.16</v>
      </c>
      <c r="H130" s="315">
        <v>71.3</v>
      </c>
      <c r="I130" s="315">
        <v>1.4259999999999999</v>
      </c>
      <c r="J130" s="315">
        <v>0.68200000000000005</v>
      </c>
      <c r="K130" s="315">
        <v>17.081</v>
      </c>
      <c r="L130" s="315">
        <v>13.981</v>
      </c>
      <c r="M130" s="315">
        <v>0.155</v>
      </c>
      <c r="N130" s="43">
        <v>0</v>
      </c>
    </row>
    <row r="131" spans="1:14" x14ac:dyDescent="0.15">
      <c r="A131" s="68" t="s">
        <v>129</v>
      </c>
      <c r="B131" s="98" t="s">
        <v>151</v>
      </c>
      <c r="C131" s="98" t="s">
        <v>912</v>
      </c>
      <c r="D131" s="98" t="s">
        <v>517</v>
      </c>
      <c r="E131" s="98" t="s">
        <v>88</v>
      </c>
      <c r="F131" s="98">
        <v>174</v>
      </c>
      <c r="G131" s="98">
        <v>53.800800000000002</v>
      </c>
      <c r="H131" s="98">
        <v>417.6</v>
      </c>
      <c r="I131" s="98">
        <v>3.7932000000000006</v>
      </c>
      <c r="J131" s="98">
        <v>0.66120000000000001</v>
      </c>
      <c r="K131" s="98">
        <v>111.1512</v>
      </c>
      <c r="L131" s="98">
        <v>66.34620000000001</v>
      </c>
      <c r="M131" s="98">
        <v>0.15312000000000001</v>
      </c>
      <c r="N131" s="43">
        <v>0</v>
      </c>
    </row>
    <row r="132" spans="1:14" x14ac:dyDescent="0.15">
      <c r="A132" s="68" t="s">
        <v>129</v>
      </c>
      <c r="B132" s="98" t="s">
        <v>153</v>
      </c>
      <c r="C132" s="98" t="s">
        <v>913</v>
      </c>
      <c r="D132" s="98" t="s">
        <v>554</v>
      </c>
      <c r="E132" s="98" t="s">
        <v>88</v>
      </c>
      <c r="F132" s="98">
        <v>256</v>
      </c>
      <c r="G132" s="98">
        <v>207.97439999999997</v>
      </c>
      <c r="H132" s="98">
        <v>181.76</v>
      </c>
      <c r="I132" s="98">
        <v>1.5615999999999999</v>
      </c>
      <c r="J132" s="98">
        <v>7.6799999999999993E-2</v>
      </c>
      <c r="K132" s="98">
        <v>44.671999999999997</v>
      </c>
      <c r="L132" s="98">
        <v>42.111999999999995</v>
      </c>
      <c r="M132" s="98">
        <v>7.6800000000000002E-3</v>
      </c>
      <c r="N132" s="43">
        <v>0</v>
      </c>
    </row>
    <row r="133" spans="1:14" x14ac:dyDescent="0.15">
      <c r="A133" s="68" t="s">
        <v>129</v>
      </c>
      <c r="B133" s="98" t="s">
        <v>154</v>
      </c>
      <c r="C133" s="98" t="s">
        <v>914</v>
      </c>
      <c r="D133" s="98" t="s">
        <v>517</v>
      </c>
      <c r="E133" s="98" t="s">
        <v>88</v>
      </c>
      <c r="F133" s="98">
        <v>165</v>
      </c>
      <c r="G133" s="98">
        <v>25.459499999999998</v>
      </c>
      <c r="H133" s="98">
        <v>493.35</v>
      </c>
      <c r="I133" s="98">
        <v>5.0654999999999992</v>
      </c>
      <c r="J133" s="98">
        <v>0.75900000000000001</v>
      </c>
      <c r="K133" s="98">
        <v>130.64700000000002</v>
      </c>
      <c r="L133" s="98">
        <v>97.663499999999999</v>
      </c>
      <c r="M133" s="98">
        <v>9.5700000000000007E-2</v>
      </c>
      <c r="N133" s="43">
        <v>0</v>
      </c>
    </row>
    <row r="134" spans="1:14" x14ac:dyDescent="0.15">
      <c r="A134" s="68" t="s">
        <v>129</v>
      </c>
      <c r="B134" s="98" t="s">
        <v>155</v>
      </c>
      <c r="C134" s="98" t="s">
        <v>915</v>
      </c>
      <c r="D134" s="98" t="s">
        <v>429</v>
      </c>
      <c r="E134" s="98" t="s">
        <v>88</v>
      </c>
      <c r="F134" s="98">
        <v>123</v>
      </c>
      <c r="G134" s="98">
        <v>105.4725</v>
      </c>
      <c r="H134" s="98">
        <v>63.96</v>
      </c>
      <c r="I134" s="98">
        <v>1.476</v>
      </c>
      <c r="J134" s="98">
        <v>0.79949999999999999</v>
      </c>
      <c r="K134" s="98">
        <v>14.686199999999999</v>
      </c>
      <c r="L134" s="98">
        <v>5.4365999999999994</v>
      </c>
      <c r="M134" s="98">
        <v>2.3369999999999998E-2</v>
      </c>
      <c r="N134" s="43">
        <v>0</v>
      </c>
    </row>
    <row r="135" spans="1:14" ht="15" x14ac:dyDescent="0.15">
      <c r="A135" s="68" t="s">
        <v>129</v>
      </c>
      <c r="B135" s="98" t="s">
        <v>155</v>
      </c>
      <c r="C135" s="309" t="s">
        <v>922</v>
      </c>
      <c r="D135" s="98" t="s">
        <v>432</v>
      </c>
      <c r="E135" s="98" t="s">
        <v>88</v>
      </c>
      <c r="F135" s="315">
        <v>123</v>
      </c>
      <c r="G135" s="315">
        <v>105.4725</v>
      </c>
      <c r="H135" s="315">
        <v>63.96</v>
      </c>
      <c r="I135" s="315">
        <v>1.476</v>
      </c>
      <c r="J135" s="315">
        <v>0.79949999999999999</v>
      </c>
      <c r="K135" s="315">
        <v>14.686199999999999</v>
      </c>
      <c r="L135" s="315">
        <v>5.4365999999999994</v>
      </c>
      <c r="M135" s="315">
        <v>2.3369999999999998E-2</v>
      </c>
      <c r="N135" s="43">
        <v>0</v>
      </c>
    </row>
    <row r="136" spans="1:14" x14ac:dyDescent="0.15">
      <c r="A136" s="68" t="s">
        <v>129</v>
      </c>
      <c r="B136" s="98" t="s">
        <v>156</v>
      </c>
      <c r="C136" s="98" t="s">
        <v>916</v>
      </c>
      <c r="D136" s="98" t="s">
        <v>429</v>
      </c>
      <c r="E136" s="98" t="s">
        <v>88</v>
      </c>
      <c r="F136" s="98">
        <v>152</v>
      </c>
      <c r="G136" s="98">
        <v>138.244</v>
      </c>
      <c r="H136" s="98">
        <v>48.64</v>
      </c>
      <c r="I136" s="98">
        <v>1.0184</v>
      </c>
      <c r="J136" s="98">
        <v>0.45600000000000002</v>
      </c>
      <c r="K136" s="98">
        <v>11.673599999999999</v>
      </c>
      <c r="L136" s="98">
        <v>7.4327999999999994</v>
      </c>
      <c r="M136" s="98">
        <v>2.2799999999999997E-2</v>
      </c>
      <c r="N136" s="43">
        <v>0</v>
      </c>
    </row>
    <row r="137" spans="1:14" x14ac:dyDescent="0.15">
      <c r="A137" s="68" t="s">
        <v>129</v>
      </c>
      <c r="B137" s="98" t="s">
        <v>156</v>
      </c>
      <c r="C137" s="98" t="s">
        <v>917</v>
      </c>
      <c r="D137" s="98" t="s">
        <v>432</v>
      </c>
      <c r="E137" s="98" t="s">
        <v>88</v>
      </c>
      <c r="F137" s="98">
        <v>221</v>
      </c>
      <c r="G137" s="98">
        <v>198.83369999999999</v>
      </c>
      <c r="H137" s="98">
        <v>77.349999999999994</v>
      </c>
      <c r="I137" s="98">
        <v>0.95030000000000003</v>
      </c>
      <c r="J137" s="98">
        <v>0.24309999999999998</v>
      </c>
      <c r="K137" s="98">
        <v>20.177300000000002</v>
      </c>
      <c r="L137" s="98">
        <v>10.077599999999999</v>
      </c>
      <c r="M137" s="98">
        <v>1.3260000000000001E-2</v>
      </c>
      <c r="N137" s="43">
        <v>0</v>
      </c>
    </row>
    <row r="138" spans="1:14" x14ac:dyDescent="0.15">
      <c r="A138" s="68" t="s">
        <v>129</v>
      </c>
      <c r="B138" s="98" t="s">
        <v>157</v>
      </c>
      <c r="C138" s="98" t="s">
        <v>918</v>
      </c>
      <c r="D138" s="98" t="s">
        <v>429</v>
      </c>
      <c r="E138" s="98" t="s">
        <v>88</v>
      </c>
      <c r="F138" s="98">
        <v>154</v>
      </c>
      <c r="G138" s="98">
        <v>140.833</v>
      </c>
      <c r="H138" s="98">
        <v>46.2</v>
      </c>
      <c r="I138" s="98">
        <v>0.93940000000000001</v>
      </c>
      <c r="J138" s="98">
        <v>0.23099999999999998</v>
      </c>
      <c r="K138" s="98">
        <v>11.627000000000001</v>
      </c>
      <c r="L138" s="98">
        <v>9.548</v>
      </c>
      <c r="M138" s="98">
        <v>2.4639999999999999E-2</v>
      </c>
      <c r="N138" s="43">
        <v>0</v>
      </c>
    </row>
    <row r="139" spans="1:14" x14ac:dyDescent="0.15">
      <c r="A139" s="162" t="s">
        <v>389</v>
      </c>
      <c r="B139" s="152"/>
      <c r="C139" s="152"/>
      <c r="D139" s="152"/>
      <c r="E139" s="152"/>
      <c r="F139" s="152"/>
      <c r="G139" s="152"/>
      <c r="H139" s="152"/>
      <c r="I139" s="152"/>
      <c r="J139" s="152"/>
      <c r="K139" s="152"/>
      <c r="L139" s="152"/>
      <c r="M139" s="152"/>
      <c r="N139" s="165"/>
    </row>
    <row r="140" spans="1:14" x14ac:dyDescent="0.15">
      <c r="A140" s="68" t="s">
        <v>7</v>
      </c>
      <c r="B140" s="98" t="s">
        <v>188</v>
      </c>
      <c r="C140" s="98" t="s">
        <v>924</v>
      </c>
      <c r="D140" s="98" t="s">
        <v>158</v>
      </c>
      <c r="E140" s="98" t="s">
        <v>88</v>
      </c>
      <c r="F140" s="98">
        <v>244</v>
      </c>
      <c r="G140" s="101">
        <v>215.03719999999998</v>
      </c>
      <c r="H140" s="101">
        <v>148.84</v>
      </c>
      <c r="I140" s="101">
        <v>7.6859999999999999</v>
      </c>
      <c r="J140" s="101">
        <v>7.93</v>
      </c>
      <c r="K140" s="101">
        <v>11.712</v>
      </c>
      <c r="L140" s="101">
        <v>12.321999999999999</v>
      </c>
      <c r="M140" s="101">
        <v>4.5506000000000002</v>
      </c>
      <c r="N140" s="42">
        <v>24.4</v>
      </c>
    </row>
    <row r="141" spans="1:14" x14ac:dyDescent="0.15">
      <c r="A141" s="68" t="s">
        <v>7</v>
      </c>
      <c r="B141" s="98" t="s">
        <v>188</v>
      </c>
      <c r="C141" s="98" t="s">
        <v>925</v>
      </c>
      <c r="D141" s="98" t="s">
        <v>159</v>
      </c>
      <c r="E141" s="98" t="s">
        <v>88</v>
      </c>
      <c r="F141" s="98">
        <v>244</v>
      </c>
      <c r="G141" s="101">
        <v>217.67239999999998</v>
      </c>
      <c r="H141" s="101">
        <v>122</v>
      </c>
      <c r="I141" s="101">
        <v>8.0519999999999996</v>
      </c>
      <c r="J141" s="101">
        <v>4.8311999999999999</v>
      </c>
      <c r="K141" s="101">
        <v>11.712</v>
      </c>
      <c r="L141" s="101">
        <v>12.346399999999999</v>
      </c>
      <c r="M141" s="101">
        <v>3.0670799999999998</v>
      </c>
      <c r="N141" s="42">
        <v>19.52</v>
      </c>
    </row>
    <row r="142" spans="1:14" x14ac:dyDescent="0.15">
      <c r="A142" s="68" t="s">
        <v>7</v>
      </c>
      <c r="B142" s="98" t="s">
        <v>188</v>
      </c>
      <c r="C142" s="98" t="s">
        <v>926</v>
      </c>
      <c r="D142" s="98" t="s">
        <v>160</v>
      </c>
      <c r="E142" s="98" t="s">
        <v>88</v>
      </c>
      <c r="F142" s="98">
        <v>244</v>
      </c>
      <c r="G142" s="101">
        <v>219.40479999999999</v>
      </c>
      <c r="H142" s="101">
        <v>102.48</v>
      </c>
      <c r="I142" s="101">
        <v>8.2227999999999994</v>
      </c>
      <c r="J142" s="101">
        <v>2.3668</v>
      </c>
      <c r="K142" s="101">
        <v>12.175600000000001</v>
      </c>
      <c r="L142" s="101">
        <v>12.688000000000001</v>
      </c>
      <c r="M142" s="101">
        <v>1.5445199999999999</v>
      </c>
      <c r="N142" s="42">
        <v>12.2</v>
      </c>
    </row>
    <row r="143" spans="1:14" x14ac:dyDescent="0.15">
      <c r="A143" s="68" t="s">
        <v>7</v>
      </c>
      <c r="B143" s="98" t="s">
        <v>188</v>
      </c>
      <c r="C143" s="98" t="s">
        <v>927</v>
      </c>
      <c r="D143" s="98" t="s">
        <v>161</v>
      </c>
      <c r="E143" s="98" t="s">
        <v>88</v>
      </c>
      <c r="F143" s="98">
        <v>245</v>
      </c>
      <c r="G143" s="101">
        <v>222.55800000000002</v>
      </c>
      <c r="H143" s="101">
        <v>83.300000000000011</v>
      </c>
      <c r="I143" s="101">
        <v>8.2565000000000008</v>
      </c>
      <c r="J143" s="101">
        <v>0.19600000000000001</v>
      </c>
      <c r="K143" s="101">
        <v>12.152000000000001</v>
      </c>
      <c r="L143" s="101">
        <v>12.470500000000001</v>
      </c>
      <c r="M143" s="101">
        <v>0.13720000000000002</v>
      </c>
      <c r="N143" s="42">
        <v>4.9000000000000004</v>
      </c>
    </row>
    <row r="144" spans="1:14" x14ac:dyDescent="0.15">
      <c r="A144" s="68" t="s">
        <v>7</v>
      </c>
      <c r="B144" s="98" t="s">
        <v>188</v>
      </c>
      <c r="C144" s="98" t="s">
        <v>928</v>
      </c>
      <c r="D144" s="98" t="s">
        <v>162</v>
      </c>
      <c r="E144" s="98" t="s">
        <v>88</v>
      </c>
      <c r="F144" s="98">
        <v>250</v>
      </c>
      <c r="G144" s="101">
        <v>205.75</v>
      </c>
      <c r="H144" s="101">
        <v>207.5</v>
      </c>
      <c r="I144" s="101">
        <v>7.9249999999999998</v>
      </c>
      <c r="J144" s="101">
        <v>8.4749999999999996</v>
      </c>
      <c r="K144" s="101">
        <v>25.85</v>
      </c>
      <c r="L144" s="101">
        <v>23.849999999999998</v>
      </c>
      <c r="M144" s="101">
        <v>5.26</v>
      </c>
      <c r="N144" s="42">
        <v>30</v>
      </c>
    </row>
    <row r="145" spans="1:14" x14ac:dyDescent="0.15">
      <c r="A145" s="68" t="s">
        <v>7</v>
      </c>
      <c r="B145" s="98" t="s">
        <v>188</v>
      </c>
      <c r="C145" s="98" t="s">
        <v>929</v>
      </c>
      <c r="D145" s="98" t="s">
        <v>163</v>
      </c>
      <c r="E145" s="98" t="s">
        <v>88</v>
      </c>
      <c r="F145" s="98">
        <v>250</v>
      </c>
      <c r="G145" s="101">
        <v>205.42500000000001</v>
      </c>
      <c r="H145" s="101">
        <v>190</v>
      </c>
      <c r="I145" s="101">
        <v>7.4750000000000005</v>
      </c>
      <c r="J145" s="101">
        <v>4.75</v>
      </c>
      <c r="K145" s="101">
        <v>30.325000000000003</v>
      </c>
      <c r="L145" s="101">
        <v>23.875</v>
      </c>
      <c r="M145" s="101">
        <v>2.9424999999999999</v>
      </c>
      <c r="N145" s="42">
        <v>20</v>
      </c>
    </row>
    <row r="146" spans="1:14" x14ac:dyDescent="0.15">
      <c r="A146" s="68" t="s">
        <v>7</v>
      </c>
      <c r="B146" s="98" t="s">
        <v>164</v>
      </c>
      <c r="C146" s="98" t="s">
        <v>930</v>
      </c>
      <c r="D146" s="98" t="s">
        <v>164</v>
      </c>
      <c r="E146" s="98" t="s">
        <v>88</v>
      </c>
      <c r="F146" s="98">
        <v>245</v>
      </c>
      <c r="G146" s="101">
        <v>208.42150000000001</v>
      </c>
      <c r="H146" s="101">
        <v>154.35000000000002</v>
      </c>
      <c r="I146" s="101">
        <v>12.862500000000001</v>
      </c>
      <c r="J146" s="101">
        <v>3.7975000000000003</v>
      </c>
      <c r="K146" s="101">
        <v>17.248000000000001</v>
      </c>
      <c r="L146" s="101">
        <v>17.248000000000001</v>
      </c>
      <c r="M146" s="101">
        <v>2.4500000000000002</v>
      </c>
      <c r="N146" s="42">
        <v>14.700000000000001</v>
      </c>
    </row>
    <row r="147" spans="1:14" x14ac:dyDescent="0.15">
      <c r="A147" s="68" t="s">
        <v>7</v>
      </c>
      <c r="B147" s="98" t="s">
        <v>189</v>
      </c>
      <c r="C147" s="98" t="s">
        <v>931</v>
      </c>
      <c r="D147" s="98" t="s">
        <v>165</v>
      </c>
      <c r="E147" s="98" t="s">
        <v>950</v>
      </c>
      <c r="F147" s="98">
        <v>42.525000000000006</v>
      </c>
      <c r="G147" s="101">
        <v>15.627937500000003</v>
      </c>
      <c r="H147" s="101">
        <v>171.37575000000004</v>
      </c>
      <c r="I147" s="101">
        <v>10.588725000000002</v>
      </c>
      <c r="J147" s="101">
        <v>14.092785000000003</v>
      </c>
      <c r="K147" s="101">
        <v>0.54432000000000014</v>
      </c>
      <c r="L147" s="101">
        <v>0.22113000000000005</v>
      </c>
      <c r="M147" s="101">
        <v>8.9693730000000009</v>
      </c>
      <c r="N147" s="42">
        <v>44.651250000000005</v>
      </c>
    </row>
    <row r="148" spans="1:14" x14ac:dyDescent="0.15">
      <c r="A148" s="68" t="s">
        <v>7</v>
      </c>
      <c r="B148" s="98" t="s">
        <v>190</v>
      </c>
      <c r="C148" s="98" t="s">
        <v>932</v>
      </c>
      <c r="D148" s="98" t="s">
        <v>166</v>
      </c>
      <c r="E148" s="98" t="s">
        <v>950</v>
      </c>
      <c r="F148" s="98">
        <v>42.525000000000006</v>
      </c>
      <c r="G148" s="101">
        <v>17.413987500000005</v>
      </c>
      <c r="H148" s="101">
        <v>149.26275000000004</v>
      </c>
      <c r="I148" s="101">
        <v>10.877895000000001</v>
      </c>
      <c r="J148" s="101">
        <v>11.320155000000002</v>
      </c>
      <c r="K148" s="101">
        <v>0.91003500000000026</v>
      </c>
      <c r="L148" s="101">
        <v>0.23814000000000007</v>
      </c>
      <c r="M148" s="101">
        <v>7.2624195000000009</v>
      </c>
      <c r="N148" s="42">
        <v>29.342250000000003</v>
      </c>
    </row>
    <row r="149" spans="1:14" x14ac:dyDescent="0.15">
      <c r="A149" s="68" t="s">
        <v>7</v>
      </c>
      <c r="B149" s="98" t="s">
        <v>190</v>
      </c>
      <c r="C149" s="98" t="s">
        <v>933</v>
      </c>
      <c r="D149" s="98" t="s">
        <v>167</v>
      </c>
      <c r="E149" s="98" t="s">
        <v>950</v>
      </c>
      <c r="F149" s="98">
        <v>42.525000000000006</v>
      </c>
      <c r="G149" s="101">
        <v>13.144477500000002</v>
      </c>
      <c r="H149" s="101">
        <v>164.57175000000004</v>
      </c>
      <c r="I149" s="101">
        <v>13.522950000000003</v>
      </c>
      <c r="J149" s="101">
        <v>11.456235000000003</v>
      </c>
      <c r="K149" s="101">
        <v>1.5436575000000001</v>
      </c>
      <c r="L149" s="101">
        <v>0.31043250000000006</v>
      </c>
      <c r="M149" s="101">
        <v>7.2781537500000004</v>
      </c>
      <c r="N149" s="42">
        <v>44.226000000000006</v>
      </c>
    </row>
    <row r="150" spans="1:14" x14ac:dyDescent="0.15">
      <c r="A150" s="68" t="s">
        <v>7</v>
      </c>
      <c r="B150" s="98" t="s">
        <v>190</v>
      </c>
      <c r="C150" s="98" t="s">
        <v>934</v>
      </c>
      <c r="D150" s="98" t="s">
        <v>168</v>
      </c>
      <c r="E150" s="98" t="s">
        <v>950</v>
      </c>
      <c r="F150" s="98">
        <v>42.525000000000006</v>
      </c>
      <c r="G150" s="101">
        <v>8.862210000000001</v>
      </c>
      <c r="H150" s="101">
        <v>183.28275000000002</v>
      </c>
      <c r="I150" s="101">
        <v>16.355115000000001</v>
      </c>
      <c r="J150" s="101">
        <v>12.166402500000002</v>
      </c>
      <c r="K150" s="101">
        <v>1.726515</v>
      </c>
      <c r="L150" s="101">
        <v>0.38272500000000009</v>
      </c>
      <c r="M150" s="101">
        <v>7.3572502500000008</v>
      </c>
      <c r="N150" s="42">
        <v>37.422000000000004</v>
      </c>
    </row>
    <row r="151" spans="1:14" x14ac:dyDescent="0.15">
      <c r="A151" s="68" t="s">
        <v>7</v>
      </c>
      <c r="B151" s="98" t="s">
        <v>190</v>
      </c>
      <c r="C151" s="98" t="s">
        <v>935</v>
      </c>
      <c r="D151" s="98" t="s">
        <v>169</v>
      </c>
      <c r="E151" s="98" t="s">
        <v>950</v>
      </c>
      <c r="F151" s="98">
        <v>42.525000000000006</v>
      </c>
      <c r="G151" s="101">
        <v>21.266752500000003</v>
      </c>
      <c r="H151" s="101">
        <v>127.57500000000002</v>
      </c>
      <c r="I151" s="101">
        <v>9.4277925000000025</v>
      </c>
      <c r="J151" s="101">
        <v>9.5043375000000019</v>
      </c>
      <c r="K151" s="101">
        <v>0.93129750000000011</v>
      </c>
      <c r="L151" s="101">
        <v>0.43800750000000011</v>
      </c>
      <c r="M151" s="101">
        <v>5.5928880000000003</v>
      </c>
      <c r="N151" s="42">
        <v>33.594750000000005</v>
      </c>
    </row>
    <row r="152" spans="1:14" x14ac:dyDescent="0.15">
      <c r="A152" s="68" t="s">
        <v>7</v>
      </c>
      <c r="B152" s="98" t="s">
        <v>190</v>
      </c>
      <c r="C152" s="98" t="s">
        <v>936</v>
      </c>
      <c r="D152" s="98" t="s">
        <v>170</v>
      </c>
      <c r="E152" s="98" t="s">
        <v>951</v>
      </c>
      <c r="F152" s="98">
        <v>123</v>
      </c>
      <c r="G152" s="101">
        <v>88.191000000000003</v>
      </c>
      <c r="H152" s="101">
        <v>214.02</v>
      </c>
      <c r="I152" s="101">
        <v>13.8498</v>
      </c>
      <c r="J152" s="101">
        <v>15.965400000000001</v>
      </c>
      <c r="K152" s="101">
        <v>3.7391999999999999</v>
      </c>
      <c r="L152" s="101">
        <v>0.33210000000000001</v>
      </c>
      <c r="M152" s="101">
        <v>10.20285</v>
      </c>
      <c r="N152" s="42">
        <v>62.73</v>
      </c>
    </row>
    <row r="153" spans="1:14" x14ac:dyDescent="0.15">
      <c r="A153" s="68" t="s">
        <v>7</v>
      </c>
      <c r="B153" s="98" t="s">
        <v>191</v>
      </c>
      <c r="C153" s="98" t="s">
        <v>937</v>
      </c>
      <c r="D153" s="98" t="s">
        <v>171</v>
      </c>
      <c r="E153" s="98" t="s">
        <v>950</v>
      </c>
      <c r="F153" s="98">
        <v>42.525000000000006</v>
      </c>
      <c r="G153" s="101">
        <v>15.785280000000002</v>
      </c>
      <c r="H153" s="101">
        <v>161.59500000000003</v>
      </c>
      <c r="I153" s="101">
        <v>11.451982500000002</v>
      </c>
      <c r="J153" s="101">
        <v>11.821950000000003</v>
      </c>
      <c r="K153" s="101">
        <v>2.2878450000000004</v>
      </c>
      <c r="L153" s="101">
        <v>0.56133000000000011</v>
      </c>
      <c r="M153" s="101">
        <v>7.560519750000001</v>
      </c>
      <c r="N153" s="42">
        <v>39.123000000000005</v>
      </c>
    </row>
    <row r="154" spans="1:14" x14ac:dyDescent="0.15">
      <c r="A154" s="68" t="s">
        <v>7</v>
      </c>
      <c r="B154" s="98" t="s">
        <v>191</v>
      </c>
      <c r="C154" s="98" t="s">
        <v>938</v>
      </c>
      <c r="D154" s="98" t="s">
        <v>172</v>
      </c>
      <c r="E154" s="98" t="s">
        <v>950</v>
      </c>
      <c r="F154" s="98">
        <v>42.525000000000006</v>
      </c>
      <c r="G154" s="101">
        <v>17.482027500000004</v>
      </c>
      <c r="H154" s="101">
        <v>157.76775000000004</v>
      </c>
      <c r="I154" s="101">
        <v>9.882810000000001</v>
      </c>
      <c r="J154" s="101">
        <v>12.621420000000002</v>
      </c>
      <c r="K154" s="101">
        <v>1.1864475000000003</v>
      </c>
      <c r="L154" s="101">
        <v>0.21687750000000003</v>
      </c>
      <c r="M154" s="101">
        <v>7.9793910000000015</v>
      </c>
      <c r="N154" s="42">
        <v>39.973500000000008</v>
      </c>
    </row>
    <row r="155" spans="1:14" x14ac:dyDescent="0.15">
      <c r="A155" s="68" t="s">
        <v>7</v>
      </c>
      <c r="B155" s="98" t="s">
        <v>191</v>
      </c>
      <c r="C155" s="98" t="s">
        <v>939</v>
      </c>
      <c r="D155" s="98" t="s">
        <v>173</v>
      </c>
      <c r="E155" s="98" t="s">
        <v>950</v>
      </c>
      <c r="F155" s="98">
        <v>42.525000000000006</v>
      </c>
      <c r="G155" s="101">
        <v>17.762692500000004</v>
      </c>
      <c r="H155" s="101">
        <v>156.49200000000002</v>
      </c>
      <c r="I155" s="101">
        <v>9.9551025000000024</v>
      </c>
      <c r="J155" s="101">
        <v>12.774510000000001</v>
      </c>
      <c r="K155" s="101">
        <v>0.47628000000000015</v>
      </c>
      <c r="L155" s="101">
        <v>0.47628000000000015</v>
      </c>
      <c r="M155" s="101">
        <v>8.1278032500000013</v>
      </c>
      <c r="N155" s="42">
        <v>40.824000000000005</v>
      </c>
    </row>
    <row r="156" spans="1:14" x14ac:dyDescent="0.15">
      <c r="A156" s="68" t="s">
        <v>7</v>
      </c>
      <c r="B156" s="98" t="s">
        <v>191</v>
      </c>
      <c r="C156" s="98" t="s">
        <v>940</v>
      </c>
      <c r="D156" s="98" t="s">
        <v>174</v>
      </c>
      <c r="E156" s="98" t="s">
        <v>950</v>
      </c>
      <c r="F156" s="98">
        <v>42.525000000000006</v>
      </c>
      <c r="G156" s="101">
        <v>18.034852500000003</v>
      </c>
      <c r="H156" s="101">
        <v>150.11325000000002</v>
      </c>
      <c r="I156" s="101">
        <v>9.1003500000000006</v>
      </c>
      <c r="J156" s="101">
        <v>12.221685000000001</v>
      </c>
      <c r="K156" s="101">
        <v>0.99508500000000011</v>
      </c>
      <c r="L156" s="101">
        <v>0.21262500000000004</v>
      </c>
      <c r="M156" s="101">
        <v>7.9389922500000019</v>
      </c>
      <c r="N156" s="42">
        <v>31.893750000000004</v>
      </c>
    </row>
    <row r="157" spans="1:14" x14ac:dyDescent="0.15">
      <c r="A157" s="68" t="s">
        <v>7</v>
      </c>
      <c r="B157" s="98" t="s">
        <v>191</v>
      </c>
      <c r="C157" s="309" t="s">
        <v>955</v>
      </c>
      <c r="D157" s="309" t="s">
        <v>175</v>
      </c>
      <c r="E157" s="309" t="s">
        <v>950</v>
      </c>
      <c r="F157" s="188">
        <f>AVERAGE(F153:F156)</f>
        <v>42.525000000000006</v>
      </c>
      <c r="G157" s="188">
        <f t="shared" ref="G157:N157" si="0">AVERAGE(G153:G156)</f>
        <v>17.266213125000004</v>
      </c>
      <c r="H157" s="188">
        <f t="shared" si="0"/>
        <v>156.49200000000002</v>
      </c>
      <c r="I157" s="188">
        <f t="shared" si="0"/>
        <v>10.097561250000002</v>
      </c>
      <c r="J157" s="188">
        <f t="shared" si="0"/>
        <v>12.359891250000002</v>
      </c>
      <c r="K157" s="188">
        <f t="shared" si="0"/>
        <v>1.2364143750000003</v>
      </c>
      <c r="L157" s="188">
        <f t="shared" si="0"/>
        <v>0.36677812500000007</v>
      </c>
      <c r="M157" s="188">
        <f t="shared" si="0"/>
        <v>7.9016765625000014</v>
      </c>
      <c r="N157" s="188">
        <f t="shared" si="0"/>
        <v>37.953562500000011</v>
      </c>
    </row>
    <row r="158" spans="1:14" x14ac:dyDescent="0.15">
      <c r="A158" s="68" t="s">
        <v>7</v>
      </c>
      <c r="B158" s="98" t="s">
        <v>192</v>
      </c>
      <c r="C158" s="309" t="s">
        <v>941</v>
      </c>
      <c r="D158" s="98" t="s">
        <v>176</v>
      </c>
      <c r="E158" s="98" t="s">
        <v>952</v>
      </c>
      <c r="F158" s="98">
        <v>420</v>
      </c>
      <c r="G158" s="101">
        <v>335.11800000000005</v>
      </c>
      <c r="H158" s="101">
        <v>411.6</v>
      </c>
      <c r="I158" s="101">
        <v>46.704000000000001</v>
      </c>
      <c r="J158" s="101">
        <v>18.059999999999999</v>
      </c>
      <c r="K158" s="101">
        <v>14.196</v>
      </c>
      <c r="L158" s="101">
        <v>11.214</v>
      </c>
      <c r="M158" s="101">
        <v>7.2156000000000002</v>
      </c>
      <c r="N158" s="42">
        <v>71.400000000000006</v>
      </c>
    </row>
    <row r="159" spans="1:14" x14ac:dyDescent="0.15">
      <c r="A159" s="68" t="s">
        <v>7</v>
      </c>
      <c r="B159" s="98" t="s">
        <v>192</v>
      </c>
      <c r="C159" s="309" t="s">
        <v>942</v>
      </c>
      <c r="D159" s="98" t="s">
        <v>177</v>
      </c>
      <c r="E159" s="98" t="s">
        <v>952</v>
      </c>
      <c r="F159" s="98">
        <v>452</v>
      </c>
      <c r="G159" s="101">
        <v>364.71879999999993</v>
      </c>
      <c r="H159" s="101">
        <v>388.71999999999997</v>
      </c>
      <c r="I159" s="101">
        <v>53.471599999999995</v>
      </c>
      <c r="J159" s="101">
        <v>11.074</v>
      </c>
      <c r="K159" s="101">
        <v>16.543199999999999</v>
      </c>
      <c r="L159" s="101">
        <v>16.588399999999996</v>
      </c>
      <c r="M159" s="101">
        <v>4.4250799999999995</v>
      </c>
      <c r="N159" s="42">
        <v>45.199999999999996</v>
      </c>
    </row>
    <row r="160" spans="1:14" x14ac:dyDescent="0.15">
      <c r="A160" s="68" t="s">
        <v>7</v>
      </c>
      <c r="B160" s="98" t="s">
        <v>193</v>
      </c>
      <c r="C160" s="309" t="s">
        <v>943</v>
      </c>
      <c r="D160" s="98" t="s">
        <v>178</v>
      </c>
      <c r="E160" s="98" t="s">
        <v>953</v>
      </c>
      <c r="F160" s="98">
        <v>198</v>
      </c>
      <c r="G160" s="101">
        <v>120.78</v>
      </c>
      <c r="H160" s="101">
        <v>409.86</v>
      </c>
      <c r="I160" s="101">
        <v>6.93</v>
      </c>
      <c r="J160" s="101">
        <v>21.78</v>
      </c>
      <c r="K160" s="101">
        <v>46.728000000000002</v>
      </c>
      <c r="L160" s="101">
        <v>42.015599999999999</v>
      </c>
      <c r="M160" s="101">
        <v>13.4442</v>
      </c>
      <c r="N160" s="42">
        <v>87.12</v>
      </c>
    </row>
    <row r="161" spans="1:26" x14ac:dyDescent="0.15">
      <c r="A161" s="68" t="s">
        <v>7</v>
      </c>
      <c r="B161" s="98" t="s">
        <v>193</v>
      </c>
      <c r="C161" s="309" t="s">
        <v>944</v>
      </c>
      <c r="D161" s="98" t="s">
        <v>179</v>
      </c>
      <c r="E161" s="98" t="s">
        <v>953</v>
      </c>
      <c r="F161" s="98">
        <v>264</v>
      </c>
      <c r="G161" s="101">
        <v>183.744</v>
      </c>
      <c r="H161" s="101">
        <v>332.64000000000004</v>
      </c>
      <c r="I161" s="101">
        <v>12.936000000000002</v>
      </c>
      <c r="J161" s="101">
        <v>6.8640000000000008</v>
      </c>
      <c r="K161" s="101">
        <v>57.552000000000007</v>
      </c>
      <c r="L161" s="101">
        <v>49.341600000000007</v>
      </c>
      <c r="M161" s="101">
        <v>4.3032000000000004</v>
      </c>
      <c r="N161" s="42">
        <v>31.68</v>
      </c>
    </row>
    <row r="162" spans="1:26" x14ac:dyDescent="0.15">
      <c r="A162" s="164" t="s">
        <v>7</v>
      </c>
      <c r="B162" s="309" t="s">
        <v>193</v>
      </c>
      <c r="C162" s="309" t="s">
        <v>956</v>
      </c>
      <c r="D162" s="309" t="s">
        <v>175</v>
      </c>
      <c r="E162" s="309" t="s">
        <v>953</v>
      </c>
      <c r="F162" s="309">
        <f>AVERAGE(F160:F161)</f>
        <v>231</v>
      </c>
      <c r="G162" s="309">
        <f t="shared" ref="G162:N162" si="1">AVERAGE(G160:G161)</f>
        <v>152.262</v>
      </c>
      <c r="H162" s="309">
        <f t="shared" si="1"/>
        <v>371.25</v>
      </c>
      <c r="I162" s="309">
        <f t="shared" si="1"/>
        <v>9.9329999999999998</v>
      </c>
      <c r="J162" s="309">
        <f t="shared" si="1"/>
        <v>14.322000000000001</v>
      </c>
      <c r="K162" s="309">
        <f t="shared" si="1"/>
        <v>52.14</v>
      </c>
      <c r="L162" s="309">
        <f t="shared" si="1"/>
        <v>45.678600000000003</v>
      </c>
      <c r="M162" s="309">
        <f t="shared" si="1"/>
        <v>8.8736999999999995</v>
      </c>
      <c r="N162" s="309">
        <f t="shared" si="1"/>
        <v>59.400000000000006</v>
      </c>
    </row>
    <row r="163" spans="1:26" x14ac:dyDescent="0.15">
      <c r="A163" s="68" t="s">
        <v>7</v>
      </c>
      <c r="B163" s="98" t="s">
        <v>194</v>
      </c>
      <c r="C163" s="309" t="s">
        <v>945</v>
      </c>
      <c r="D163" s="98" t="s">
        <v>180</v>
      </c>
      <c r="E163" s="98" t="s">
        <v>951</v>
      </c>
      <c r="F163" s="98">
        <v>126</v>
      </c>
      <c r="G163" s="101">
        <v>93.290400000000005</v>
      </c>
      <c r="H163" s="101">
        <v>168.84</v>
      </c>
      <c r="I163" s="101">
        <v>8.5806000000000004</v>
      </c>
      <c r="J163" s="101">
        <v>9.525599999999999</v>
      </c>
      <c r="K163" s="101">
        <v>12.650399999999999</v>
      </c>
      <c r="L163" s="101">
        <v>12.650399999999999</v>
      </c>
      <c r="M163" s="101">
        <v>5.7846600000000006</v>
      </c>
      <c r="N163" s="42">
        <v>36.54</v>
      </c>
    </row>
    <row r="164" spans="1:26" x14ac:dyDescent="0.15">
      <c r="A164" s="68" t="s">
        <v>7</v>
      </c>
      <c r="B164" s="98" t="s">
        <v>194</v>
      </c>
      <c r="C164" s="309" t="s">
        <v>945</v>
      </c>
      <c r="D164" s="98" t="s">
        <v>181</v>
      </c>
      <c r="E164" s="98" t="s">
        <v>951</v>
      </c>
      <c r="F164" s="98">
        <v>126</v>
      </c>
      <c r="G164" s="101">
        <v>93.290400000000005</v>
      </c>
      <c r="H164" s="101">
        <v>168.84</v>
      </c>
      <c r="I164" s="101">
        <v>8.5806000000000004</v>
      </c>
      <c r="J164" s="101">
        <v>9.525599999999999</v>
      </c>
      <c r="K164" s="101">
        <v>12.650399999999999</v>
      </c>
      <c r="L164" s="101">
        <v>12.650399999999999</v>
      </c>
      <c r="M164" s="101">
        <v>5.7846600000000006</v>
      </c>
      <c r="N164" s="42">
        <v>36.54</v>
      </c>
    </row>
    <row r="165" spans="1:26" x14ac:dyDescent="0.15">
      <c r="A165" s="68" t="s">
        <v>7</v>
      </c>
      <c r="B165" s="98" t="s">
        <v>194</v>
      </c>
      <c r="C165" s="309" t="s">
        <v>946</v>
      </c>
      <c r="D165" s="98" t="s">
        <v>182</v>
      </c>
      <c r="E165" s="98" t="s">
        <v>951</v>
      </c>
      <c r="F165" s="98">
        <v>128</v>
      </c>
      <c r="G165" s="101">
        <v>101.63200000000001</v>
      </c>
      <c r="H165" s="101">
        <v>99.84</v>
      </c>
      <c r="I165" s="101">
        <v>9.6639999999999997</v>
      </c>
      <c r="J165" s="101">
        <v>0.25600000000000001</v>
      </c>
      <c r="K165" s="101">
        <v>14.528</v>
      </c>
      <c r="L165" s="101">
        <v>14.528</v>
      </c>
      <c r="M165" s="101">
        <v>0.15487999999999999</v>
      </c>
      <c r="N165" s="42">
        <v>5.12</v>
      </c>
    </row>
    <row r="166" spans="1:26" x14ac:dyDescent="0.15">
      <c r="A166" s="68" t="s">
        <v>7</v>
      </c>
      <c r="B166" s="98" t="s">
        <v>195</v>
      </c>
      <c r="C166" s="309" t="s">
        <v>947</v>
      </c>
      <c r="D166" s="98" t="s">
        <v>183</v>
      </c>
      <c r="E166" s="98" t="s">
        <v>954</v>
      </c>
      <c r="F166" s="98">
        <v>32</v>
      </c>
      <c r="G166" s="101">
        <v>0.7904000000000001</v>
      </c>
      <c r="H166" s="101">
        <v>158.72</v>
      </c>
      <c r="I166" s="101">
        <v>8.4223999999999997</v>
      </c>
      <c r="J166" s="101">
        <v>8.5472000000000001</v>
      </c>
      <c r="K166" s="101">
        <v>12.294400000000001</v>
      </c>
      <c r="L166" s="101">
        <v>12.294400000000001</v>
      </c>
      <c r="M166" s="101">
        <v>5.3574400000000004</v>
      </c>
      <c r="N166" s="42">
        <v>31.04</v>
      </c>
    </row>
    <row r="167" spans="1:26" x14ac:dyDescent="0.15">
      <c r="A167" s="68" t="s">
        <v>7</v>
      </c>
      <c r="B167" s="98" t="s">
        <v>195</v>
      </c>
      <c r="C167" s="98" t="s">
        <v>948</v>
      </c>
      <c r="D167" s="98" t="s">
        <v>184</v>
      </c>
      <c r="E167" s="98" t="s">
        <v>954</v>
      </c>
      <c r="F167" s="98">
        <v>17</v>
      </c>
      <c r="G167" s="101">
        <v>0.67320000000000002</v>
      </c>
      <c r="H167" s="101">
        <v>60.860000000000007</v>
      </c>
      <c r="I167" s="101">
        <v>5.9670000000000005</v>
      </c>
      <c r="J167" s="101">
        <v>0.12240000000000001</v>
      </c>
      <c r="K167" s="101">
        <v>8.872300000000001</v>
      </c>
      <c r="L167" s="101">
        <v>8.872300000000001</v>
      </c>
      <c r="M167" s="101">
        <v>7.9390000000000016E-2</v>
      </c>
      <c r="N167" s="42">
        <v>3.06</v>
      </c>
    </row>
    <row r="168" spans="1:26" x14ac:dyDescent="0.15">
      <c r="A168" s="68" t="s">
        <v>7</v>
      </c>
      <c r="B168" s="98" t="s">
        <v>195</v>
      </c>
      <c r="C168" s="98" t="s">
        <v>949</v>
      </c>
      <c r="D168" s="98" t="s">
        <v>185</v>
      </c>
      <c r="E168" s="98" t="s">
        <v>954</v>
      </c>
      <c r="F168" s="98">
        <v>30</v>
      </c>
      <c r="G168" s="101">
        <v>0.89100000000000001</v>
      </c>
      <c r="H168" s="101">
        <v>116.1</v>
      </c>
      <c r="I168" s="101">
        <v>10.29</v>
      </c>
      <c r="J168" s="101">
        <v>1.734</v>
      </c>
      <c r="K168" s="101">
        <v>14.7</v>
      </c>
      <c r="L168" s="101">
        <v>14.7</v>
      </c>
      <c r="M168" s="101">
        <v>1.0793999999999999</v>
      </c>
      <c r="N168" s="42">
        <v>20.7</v>
      </c>
    </row>
    <row r="169" spans="1:26" ht="15" x14ac:dyDescent="0.15">
      <c r="A169" s="365" t="s">
        <v>720</v>
      </c>
      <c r="B169" s="381" t="s">
        <v>719</v>
      </c>
      <c r="C169" s="382" t="s">
        <v>997</v>
      </c>
      <c r="D169" s="381"/>
      <c r="E169" s="381" t="s">
        <v>88</v>
      </c>
      <c r="F169" s="381">
        <v>243</v>
      </c>
      <c r="G169" s="383">
        <v>219.57</v>
      </c>
      <c r="H169" s="383">
        <v>104</v>
      </c>
      <c r="I169" s="383">
        <v>6.32</v>
      </c>
      <c r="J169" s="383">
        <v>3.57</v>
      </c>
      <c r="K169" s="383">
        <v>11.96</v>
      </c>
      <c r="L169" s="383">
        <v>8.8699999999999992</v>
      </c>
      <c r="M169" s="383">
        <v>0.498</v>
      </c>
      <c r="N169" s="384">
        <v>0</v>
      </c>
      <c r="P169" s="385"/>
      <c r="Q169" s="367"/>
      <c r="R169" s="367"/>
      <c r="S169" s="367"/>
      <c r="T169" s="367"/>
      <c r="U169" s="367"/>
      <c r="V169" s="367"/>
      <c r="W169" s="367"/>
      <c r="X169" s="367"/>
      <c r="Y169" s="367"/>
      <c r="Z169" s="367"/>
    </row>
    <row r="170" spans="1:26" s="308" customFormat="1" ht="15" x14ac:dyDescent="0.15">
      <c r="A170" s="405" t="s">
        <v>723</v>
      </c>
      <c r="B170" s="386" t="s">
        <v>722</v>
      </c>
      <c r="C170" s="387" t="s">
        <v>998</v>
      </c>
      <c r="D170" s="386"/>
      <c r="E170" s="386" t="s">
        <v>726</v>
      </c>
      <c r="F170" s="386">
        <v>63</v>
      </c>
      <c r="G170" s="388">
        <v>53.52</v>
      </c>
      <c r="H170" s="388">
        <v>44</v>
      </c>
      <c r="I170" s="388">
        <v>5.16</v>
      </c>
      <c r="J170" s="388">
        <v>2.63</v>
      </c>
      <c r="K170" s="388">
        <v>1.06</v>
      </c>
      <c r="L170" s="388">
        <v>0.38</v>
      </c>
      <c r="M170" s="388">
        <v>0.54400000000000004</v>
      </c>
      <c r="N170" s="389">
        <v>0</v>
      </c>
      <c r="P170" s="385"/>
      <c r="Q170" s="367"/>
      <c r="R170" s="367"/>
      <c r="S170" s="367"/>
      <c r="T170" s="367"/>
      <c r="U170" s="367"/>
      <c r="V170" s="367"/>
      <c r="W170" s="367"/>
      <c r="X170" s="367"/>
      <c r="Y170" s="367"/>
      <c r="Z170" s="367"/>
    </row>
    <row r="171" spans="1:26" x14ac:dyDescent="0.15">
      <c r="A171" s="164" t="s">
        <v>354</v>
      </c>
      <c r="B171" s="98" t="s">
        <v>94</v>
      </c>
      <c r="C171" s="98" t="s">
        <v>821</v>
      </c>
      <c r="D171" s="98" t="s">
        <v>96</v>
      </c>
      <c r="E171" s="98" t="s">
        <v>726</v>
      </c>
      <c r="F171" s="101">
        <v>43.6</v>
      </c>
      <c r="G171" s="101">
        <v>28.85012</v>
      </c>
      <c r="H171" s="101">
        <v>57.246800000000007</v>
      </c>
      <c r="I171" s="101">
        <v>3.5215719999999999</v>
      </c>
      <c r="J171" s="101">
        <v>0.30519999999999997</v>
      </c>
      <c r="K171" s="101">
        <v>10.440891999999998</v>
      </c>
      <c r="L171" s="101">
        <v>0.86836666666666673</v>
      </c>
      <c r="M171" s="101">
        <v>5.7595600000000011E-2</v>
      </c>
      <c r="N171" s="42">
        <v>0</v>
      </c>
    </row>
    <row r="172" spans="1:26" x14ac:dyDescent="0.15">
      <c r="A172" s="164" t="s">
        <v>354</v>
      </c>
      <c r="B172" s="98" t="s">
        <v>95</v>
      </c>
      <c r="C172" s="98" t="s">
        <v>822</v>
      </c>
      <c r="D172" s="98" t="s">
        <v>96</v>
      </c>
      <c r="E172" s="98" t="s">
        <v>726</v>
      </c>
      <c r="F172" s="101">
        <v>49.25</v>
      </c>
      <c r="G172" s="101">
        <v>34.260762499999998</v>
      </c>
      <c r="H172" s="101">
        <v>57.622500000000002</v>
      </c>
      <c r="I172" s="101">
        <v>4.2748999999999997</v>
      </c>
      <c r="J172" s="101">
        <v>0.18961249999999999</v>
      </c>
      <c r="K172" s="101">
        <v>10.1528875</v>
      </c>
      <c r="L172" s="101">
        <v>1.157375</v>
      </c>
      <c r="M172" s="101">
        <v>2.6348750000000001E-2</v>
      </c>
      <c r="N172" s="42">
        <v>0</v>
      </c>
    </row>
    <row r="173" spans="1:26" s="5" customFormat="1" x14ac:dyDescent="0.15">
      <c r="A173" s="164" t="s">
        <v>354</v>
      </c>
      <c r="B173" s="46" t="s">
        <v>196</v>
      </c>
      <c r="C173" s="46" t="s">
        <v>957</v>
      </c>
      <c r="D173" s="309" t="s">
        <v>356</v>
      </c>
      <c r="E173" s="46" t="s">
        <v>975</v>
      </c>
      <c r="F173" s="188">
        <v>28.349499999999999</v>
      </c>
      <c r="G173" s="188">
        <v>14.960031150000001</v>
      </c>
      <c r="H173" s="188">
        <v>82.497045</v>
      </c>
      <c r="I173" s="188">
        <v>7.4899379000000001</v>
      </c>
      <c r="J173" s="188">
        <v>5.5876864500000005</v>
      </c>
      <c r="K173" s="188">
        <v>0</v>
      </c>
      <c r="L173" s="188">
        <v>0</v>
      </c>
      <c r="M173" s="188">
        <v>2.2027561499999999</v>
      </c>
      <c r="N173" s="188">
        <v>24.664065000000001</v>
      </c>
    </row>
    <row r="174" spans="1:26" s="5" customFormat="1" x14ac:dyDescent="0.15">
      <c r="A174" s="164" t="s">
        <v>354</v>
      </c>
      <c r="B174" s="46" t="s">
        <v>197</v>
      </c>
      <c r="C174" s="46" t="s">
        <v>958</v>
      </c>
      <c r="D174" s="309" t="s">
        <v>356</v>
      </c>
      <c r="E174" s="46" t="s">
        <v>975</v>
      </c>
      <c r="F174" s="188">
        <v>28.349499999999999</v>
      </c>
      <c r="G174" s="188">
        <v>16.1818946</v>
      </c>
      <c r="H174" s="188">
        <v>65.487345000000005</v>
      </c>
      <c r="I174" s="188">
        <v>8.5331995000000003</v>
      </c>
      <c r="J174" s="188">
        <v>3.22900805</v>
      </c>
      <c r="K174" s="188">
        <v>0</v>
      </c>
      <c r="L174" s="188">
        <v>0</v>
      </c>
      <c r="M174" s="188">
        <v>1.2473780000000001</v>
      </c>
      <c r="N174" s="188">
        <v>32.318429999999999</v>
      </c>
    </row>
    <row r="175" spans="1:26" s="5" customFormat="1" ht="15" x14ac:dyDescent="0.15">
      <c r="A175" s="164" t="s">
        <v>354</v>
      </c>
      <c r="B175" s="46" t="s">
        <v>198</v>
      </c>
      <c r="C175" s="46" t="s">
        <v>999</v>
      </c>
      <c r="D175" s="309" t="s">
        <v>356</v>
      </c>
      <c r="E175" s="46" t="s">
        <v>975</v>
      </c>
      <c r="F175" s="188">
        <v>28.349499999999999</v>
      </c>
      <c r="G175" s="188">
        <v>14.022853518480938</v>
      </c>
      <c r="H175" s="188">
        <v>84.324070894833952</v>
      </c>
      <c r="I175" s="188">
        <v>8.0669286830258304</v>
      </c>
      <c r="J175" s="188">
        <v>5.4889322046432962</v>
      </c>
      <c r="K175" s="188">
        <v>7.9533772539975386E-2</v>
      </c>
      <c r="L175" s="188">
        <v>0</v>
      </c>
      <c r="M175" s="188">
        <v>1.8791380642927429</v>
      </c>
      <c r="N175" s="188">
        <v>26.171156500615009</v>
      </c>
    </row>
    <row r="176" spans="1:26" s="5" customFormat="1" x14ac:dyDescent="0.15">
      <c r="A176" s="164" t="s">
        <v>354</v>
      </c>
      <c r="B176" s="46" t="s">
        <v>199</v>
      </c>
      <c r="C176" s="46" t="s">
        <v>959</v>
      </c>
      <c r="D176" s="309" t="s">
        <v>356</v>
      </c>
      <c r="E176" s="46" t="s">
        <v>975</v>
      </c>
      <c r="F176" s="188">
        <v>28.349499999999999</v>
      </c>
      <c r="G176" s="188">
        <v>15.229351399999999</v>
      </c>
      <c r="H176" s="188">
        <v>83.347530000000006</v>
      </c>
      <c r="I176" s="188">
        <v>6.9512973999999996</v>
      </c>
      <c r="J176" s="188">
        <v>5.9363853000000004</v>
      </c>
      <c r="K176" s="188">
        <v>0</v>
      </c>
      <c r="L176" s="188">
        <v>0</v>
      </c>
      <c r="M176" s="188">
        <v>2.5032608500000002</v>
      </c>
      <c r="N176" s="188">
        <v>27.499015</v>
      </c>
    </row>
    <row r="177" spans="1:14" s="5" customFormat="1" x14ac:dyDescent="0.15">
      <c r="A177" s="164" t="s">
        <v>354</v>
      </c>
      <c r="B177" s="46" t="s">
        <v>200</v>
      </c>
      <c r="C177" s="46" t="s">
        <v>960</v>
      </c>
      <c r="D177" s="309" t="s">
        <v>356</v>
      </c>
      <c r="E177" s="46" t="s">
        <v>976</v>
      </c>
      <c r="F177" s="188">
        <v>28.349499999999999</v>
      </c>
      <c r="G177" s="188">
        <v>16.853777749999999</v>
      </c>
      <c r="H177" s="188">
        <v>67.755304999999993</v>
      </c>
      <c r="I177" s="188">
        <v>7.7394135000000004</v>
      </c>
      <c r="J177" s="188">
        <v>3.8555319999999997</v>
      </c>
      <c r="K177" s="188">
        <v>0</v>
      </c>
      <c r="L177" s="188">
        <v>0</v>
      </c>
      <c r="M177" s="188">
        <v>1.0744460499999999</v>
      </c>
      <c r="N177" s="188">
        <v>24.947559999999999</v>
      </c>
    </row>
    <row r="178" spans="1:14" s="5" customFormat="1" x14ac:dyDescent="0.15">
      <c r="A178" s="164" t="s">
        <v>354</v>
      </c>
      <c r="B178" s="46" t="s">
        <v>201</v>
      </c>
      <c r="C178" s="46" t="s">
        <v>961</v>
      </c>
      <c r="D178" s="309" t="s">
        <v>356</v>
      </c>
      <c r="E178" s="46" t="s">
        <v>976</v>
      </c>
      <c r="F178" s="188">
        <v>28.349499999999999</v>
      </c>
      <c r="G178" s="188">
        <v>17.576689999999999</v>
      </c>
      <c r="H178" s="188">
        <v>58.116475000000001</v>
      </c>
      <c r="I178" s="188">
        <v>7.9321900999999997</v>
      </c>
      <c r="J178" s="188">
        <v>2.6790277499999999</v>
      </c>
      <c r="K178" s="188">
        <v>1.9844650000000002E-2</v>
      </c>
      <c r="L178" s="188">
        <v>0</v>
      </c>
      <c r="M178" s="188">
        <v>0.78528114999999998</v>
      </c>
      <c r="N178" s="188">
        <v>26.932024999999999</v>
      </c>
    </row>
    <row r="179" spans="1:14" s="5" customFormat="1" ht="15" x14ac:dyDescent="0.15">
      <c r="A179" s="164" t="s">
        <v>354</v>
      </c>
      <c r="B179" s="309" t="s">
        <v>202</v>
      </c>
      <c r="C179" s="309" t="s">
        <v>1000</v>
      </c>
      <c r="D179" s="309" t="s">
        <v>1219</v>
      </c>
      <c r="E179" s="309" t="s">
        <v>977</v>
      </c>
      <c r="F179" s="188">
        <f>AVERAGE(F180:F183)</f>
        <v>28.349499999999999</v>
      </c>
      <c r="G179" s="188">
        <f t="shared" ref="G179:N179" si="2">AVERAGE(G180:G183)</f>
        <v>19.135138562499996</v>
      </c>
      <c r="H179" s="188">
        <f t="shared" si="2"/>
        <v>44.563087499999995</v>
      </c>
      <c r="I179" s="188">
        <f t="shared" si="2"/>
        <v>6.7084584624999994</v>
      </c>
      <c r="J179" s="188">
        <f t="shared" si="2"/>
        <v>1.8239845499999998</v>
      </c>
      <c r="K179" s="188">
        <f t="shared" si="2"/>
        <v>0</v>
      </c>
      <c r="L179" s="188">
        <f t="shared" si="2"/>
        <v>0</v>
      </c>
      <c r="M179" s="188">
        <f t="shared" si="2"/>
        <v>0.27236442999999999</v>
      </c>
      <c r="N179" s="188">
        <f t="shared" si="2"/>
        <v>35.822806249999999</v>
      </c>
    </row>
    <row r="180" spans="1:14" s="5" customFormat="1" x14ac:dyDescent="0.15">
      <c r="A180" s="164" t="s">
        <v>354</v>
      </c>
      <c r="B180" s="309" t="s">
        <v>204</v>
      </c>
      <c r="C180" s="309" t="s">
        <v>962</v>
      </c>
      <c r="D180" s="309" t="s">
        <v>981</v>
      </c>
      <c r="E180" s="309" t="s">
        <v>977</v>
      </c>
      <c r="F180" s="188">
        <v>28.349499999999999</v>
      </c>
      <c r="G180" s="188">
        <v>19.9920674</v>
      </c>
      <c r="H180" s="188">
        <v>38.555320000000002</v>
      </c>
      <c r="I180" s="188">
        <v>6.5430645999999992</v>
      </c>
      <c r="J180" s="188">
        <v>1.36928085</v>
      </c>
      <c r="K180" s="188">
        <v>0</v>
      </c>
      <c r="L180" s="188">
        <v>0</v>
      </c>
      <c r="M180" s="188">
        <v>0.24040375999999999</v>
      </c>
      <c r="N180" s="188">
        <v>23.246590000000001</v>
      </c>
    </row>
    <row r="181" spans="1:14" s="5" customFormat="1" x14ac:dyDescent="0.15">
      <c r="A181" s="164" t="s">
        <v>354</v>
      </c>
      <c r="B181" s="309" t="s">
        <v>205</v>
      </c>
      <c r="C181" s="309" t="s">
        <v>963</v>
      </c>
      <c r="D181" s="309" t="s">
        <v>1220</v>
      </c>
      <c r="E181" s="309" t="s">
        <v>977</v>
      </c>
      <c r="F181" s="188">
        <v>28.349499999999999</v>
      </c>
      <c r="G181" s="188">
        <v>16.899136949999999</v>
      </c>
      <c r="H181" s="188">
        <v>58.96696</v>
      </c>
      <c r="I181" s="188">
        <v>6.9796469000000005</v>
      </c>
      <c r="J181" s="188">
        <v>3.2460177499999996</v>
      </c>
      <c r="K181" s="188">
        <v>0</v>
      </c>
      <c r="L181" s="188">
        <v>0</v>
      </c>
      <c r="M181" s="188">
        <v>0.43318035999999999</v>
      </c>
      <c r="N181" s="188">
        <v>40.25629</v>
      </c>
    </row>
    <row r="182" spans="1:14" s="5" customFormat="1" x14ac:dyDescent="0.15">
      <c r="A182" s="164" t="s">
        <v>354</v>
      </c>
      <c r="B182" s="309" t="s">
        <v>206</v>
      </c>
      <c r="C182" s="309" t="s">
        <v>964</v>
      </c>
      <c r="D182" s="309" t="s">
        <v>1220</v>
      </c>
      <c r="E182" s="309" t="s">
        <v>977</v>
      </c>
      <c r="F182" s="188">
        <v>28.349499999999999</v>
      </c>
      <c r="G182" s="188">
        <v>18.149349899999997</v>
      </c>
      <c r="H182" s="188">
        <v>52.730069999999998</v>
      </c>
      <c r="I182" s="188">
        <v>7.5211223500000006</v>
      </c>
      <c r="J182" s="188">
        <v>2.2906396</v>
      </c>
      <c r="K182" s="188">
        <v>0</v>
      </c>
      <c r="L182" s="188">
        <v>0</v>
      </c>
      <c r="M182" s="188">
        <v>0.36287360000000002</v>
      </c>
      <c r="N182" s="188">
        <v>8.7883449999999996</v>
      </c>
    </row>
    <row r="183" spans="1:14" s="5" customFormat="1" ht="15" x14ac:dyDescent="0.15">
      <c r="A183" s="164" t="s">
        <v>354</v>
      </c>
      <c r="B183" s="309" t="s">
        <v>203</v>
      </c>
      <c r="C183" s="309" t="s">
        <v>1001</v>
      </c>
      <c r="D183" s="309" t="s">
        <v>981</v>
      </c>
      <c r="E183" s="309" t="s">
        <v>977</v>
      </c>
      <c r="F183" s="188">
        <v>28.349499999999999</v>
      </c>
      <c r="G183" s="188">
        <v>21.5</v>
      </c>
      <c r="H183" s="188">
        <v>28</v>
      </c>
      <c r="I183" s="188">
        <v>5.79</v>
      </c>
      <c r="J183" s="188">
        <v>0.39</v>
      </c>
      <c r="K183" s="188">
        <v>0</v>
      </c>
      <c r="L183" s="188">
        <v>0</v>
      </c>
      <c r="M183" s="188">
        <v>5.2999999999999999E-2</v>
      </c>
      <c r="N183" s="188">
        <v>71</v>
      </c>
    </row>
    <row r="184" spans="1:14" s="310" customFormat="1" ht="15" x14ac:dyDescent="0.15">
      <c r="A184" s="164" t="s">
        <v>354</v>
      </c>
      <c r="B184" s="309" t="s">
        <v>175</v>
      </c>
      <c r="C184" s="309" t="s">
        <v>1000</v>
      </c>
      <c r="D184" s="309" t="s">
        <v>981</v>
      </c>
      <c r="E184" s="309" t="s">
        <v>977</v>
      </c>
      <c r="F184" s="188">
        <f>AVERAGE(F180:F183)</f>
        <v>28.349499999999999</v>
      </c>
      <c r="G184" s="188">
        <f t="shared" ref="G184:N184" si="3">AVERAGE(G180:G183)</f>
        <v>19.135138562499996</v>
      </c>
      <c r="H184" s="188">
        <f t="shared" si="3"/>
        <v>44.563087499999995</v>
      </c>
      <c r="I184" s="188">
        <f t="shared" si="3"/>
        <v>6.7084584624999994</v>
      </c>
      <c r="J184" s="188">
        <f t="shared" si="3"/>
        <v>1.8239845499999998</v>
      </c>
      <c r="K184" s="188">
        <f t="shared" si="3"/>
        <v>0</v>
      </c>
      <c r="L184" s="188">
        <f t="shared" si="3"/>
        <v>0</v>
      </c>
      <c r="M184" s="188">
        <f t="shared" si="3"/>
        <v>0.27236442999999999</v>
      </c>
      <c r="N184" s="188">
        <f t="shared" si="3"/>
        <v>35.822806249999999</v>
      </c>
    </row>
    <row r="185" spans="1:14" s="5" customFormat="1" x14ac:dyDescent="0.15">
      <c r="A185" s="164" t="s">
        <v>354</v>
      </c>
      <c r="B185" s="46" t="s">
        <v>207</v>
      </c>
      <c r="C185" s="46" t="s">
        <v>965</v>
      </c>
      <c r="D185" s="309" t="s">
        <v>1221</v>
      </c>
      <c r="E185" s="46" t="s">
        <v>978</v>
      </c>
      <c r="F185" s="188">
        <v>28.349499999999999</v>
      </c>
      <c r="G185" s="188">
        <v>4.5756093</v>
      </c>
      <c r="H185" s="188">
        <v>82.213549999999998</v>
      </c>
      <c r="I185" s="188">
        <v>17.8091559</v>
      </c>
      <c r="J185" s="188">
        <v>0.67188314999999998</v>
      </c>
      <c r="K185" s="188">
        <v>0</v>
      </c>
      <c r="L185" s="188">
        <v>0</v>
      </c>
      <c r="M185" s="188">
        <v>0.13097469</v>
      </c>
      <c r="N185" s="188">
        <v>43.091239999999999</v>
      </c>
    </row>
    <row r="186" spans="1:14" s="5" customFormat="1" x14ac:dyDescent="0.15">
      <c r="A186" s="164" t="s">
        <v>354</v>
      </c>
      <c r="B186" s="46" t="s">
        <v>208</v>
      </c>
      <c r="C186" s="46" t="s">
        <v>966</v>
      </c>
      <c r="D186" s="309" t="s">
        <v>1016</v>
      </c>
      <c r="E186" s="46" t="s">
        <v>979</v>
      </c>
      <c r="F186" s="188">
        <v>56.698999999999998</v>
      </c>
      <c r="G186" s="188">
        <v>43.176288500000005</v>
      </c>
      <c r="H186" s="188">
        <v>81.079570000000004</v>
      </c>
      <c r="I186" s="188">
        <v>7.1213943999999998</v>
      </c>
      <c r="J186" s="188">
        <v>5.3920748999999999</v>
      </c>
      <c r="K186" s="188">
        <v>0.40823280000000001</v>
      </c>
      <c r="L186" s="188">
        <v>0.20978630000000001</v>
      </c>
      <c r="M186" s="188">
        <v>1.77241074</v>
      </c>
      <c r="N186" s="188">
        <v>210.92027999999999</v>
      </c>
    </row>
    <row r="187" spans="1:14" s="5" customFormat="1" x14ac:dyDescent="0.15">
      <c r="A187" s="164" t="s">
        <v>354</v>
      </c>
      <c r="B187" s="46" t="s">
        <v>209</v>
      </c>
      <c r="C187" s="46" t="s">
        <v>967</v>
      </c>
      <c r="D187" s="309" t="s">
        <v>1016</v>
      </c>
      <c r="E187" s="46" t="s">
        <v>980</v>
      </c>
      <c r="F187" s="188">
        <v>14.17475</v>
      </c>
      <c r="G187" s="188">
        <v>0.92135875</v>
      </c>
      <c r="H187" s="188">
        <v>80.370832500000006</v>
      </c>
      <c r="I187" s="188">
        <v>3.6570855</v>
      </c>
      <c r="J187" s="188">
        <v>6.9796469000000005</v>
      </c>
      <c r="K187" s="188">
        <v>2.2863871749999998</v>
      </c>
      <c r="L187" s="188">
        <v>0.56273757499999999</v>
      </c>
      <c r="M187" s="188">
        <v>0.96870241499999998</v>
      </c>
      <c r="N187" s="188">
        <v>0</v>
      </c>
    </row>
    <row r="188" spans="1:14" s="5" customFormat="1" x14ac:dyDescent="0.15">
      <c r="A188" s="164" t="s">
        <v>354</v>
      </c>
      <c r="B188" s="46" t="s">
        <v>210</v>
      </c>
      <c r="C188" s="46" t="s">
        <v>968</v>
      </c>
      <c r="D188" s="309" t="s">
        <v>1016</v>
      </c>
      <c r="E188" s="46" t="s">
        <v>980</v>
      </c>
      <c r="F188" s="188">
        <v>14.17475</v>
      </c>
      <c r="G188" s="188">
        <v>0.42524249999999997</v>
      </c>
      <c r="H188" s="188">
        <v>93.553349999999995</v>
      </c>
      <c r="I188" s="188">
        <v>0.97522279999999995</v>
      </c>
      <c r="J188" s="188">
        <v>9.1469661749999993</v>
      </c>
      <c r="K188" s="188">
        <v>3.3523283749999999</v>
      </c>
      <c r="L188" s="188">
        <v>1.0418441249999999</v>
      </c>
      <c r="M188" s="188">
        <v>8.1105084549999997</v>
      </c>
      <c r="N188" s="188">
        <v>0</v>
      </c>
    </row>
    <row r="189" spans="1:14" s="5" customFormat="1" x14ac:dyDescent="0.15">
      <c r="A189" s="164" t="s">
        <v>354</v>
      </c>
      <c r="B189" s="46" t="s">
        <v>211</v>
      </c>
      <c r="C189" s="46" t="s">
        <v>969</v>
      </c>
      <c r="D189" s="309" t="s">
        <v>1016</v>
      </c>
      <c r="E189" s="46" t="s">
        <v>980</v>
      </c>
      <c r="F189" s="188">
        <v>14.17475</v>
      </c>
      <c r="G189" s="188">
        <v>0.66621324999999998</v>
      </c>
      <c r="H189" s="188">
        <v>81.5048125</v>
      </c>
      <c r="I189" s="188">
        <v>3.0078819499999998</v>
      </c>
      <c r="J189" s="188">
        <v>7.0051614500000001</v>
      </c>
      <c r="K189" s="188">
        <v>3.0716683250000001</v>
      </c>
      <c r="L189" s="188">
        <v>0.55139777499999998</v>
      </c>
      <c r="M189" s="188">
        <v>0.52885992250000002</v>
      </c>
      <c r="N189" s="188">
        <v>0</v>
      </c>
    </row>
    <row r="190" spans="1:14" s="5" customFormat="1" x14ac:dyDescent="0.15">
      <c r="A190" s="164" t="s">
        <v>354</v>
      </c>
      <c r="B190" s="46" t="s">
        <v>212</v>
      </c>
      <c r="C190" s="46" t="s">
        <v>970</v>
      </c>
      <c r="D190" s="309" t="s">
        <v>1016</v>
      </c>
      <c r="E190" s="46" t="s">
        <v>980</v>
      </c>
      <c r="F190" s="188">
        <v>14.17475</v>
      </c>
      <c r="G190" s="188">
        <v>0.75267922499999995</v>
      </c>
      <c r="H190" s="188">
        <v>89.017430000000004</v>
      </c>
      <c r="I190" s="188">
        <v>2.1191251250000001</v>
      </c>
      <c r="J190" s="188">
        <v>8.6111606250000001</v>
      </c>
      <c r="K190" s="188">
        <v>2.3671832500000001</v>
      </c>
      <c r="L190" s="188">
        <v>0.61518414999999993</v>
      </c>
      <c r="M190" s="188">
        <v>0.6327608400000001</v>
      </c>
      <c r="N190" s="188">
        <v>0</v>
      </c>
    </row>
    <row r="191" spans="1:14" s="5" customFormat="1" x14ac:dyDescent="0.15">
      <c r="A191" s="164" t="s">
        <v>354</v>
      </c>
      <c r="B191" s="46" t="s">
        <v>213</v>
      </c>
      <c r="C191" s="46" t="s">
        <v>971</v>
      </c>
      <c r="D191" s="309" t="s">
        <v>1016</v>
      </c>
      <c r="E191" s="46" t="s">
        <v>980</v>
      </c>
      <c r="F191" s="188">
        <v>14.17475</v>
      </c>
      <c r="G191" s="188">
        <v>0.49895119999999998</v>
      </c>
      <c r="H191" s="188">
        <v>97.947522500000005</v>
      </c>
      <c r="I191" s="188">
        <v>1.2998245749999999</v>
      </c>
      <c r="J191" s="188">
        <v>10.201567575</v>
      </c>
      <c r="K191" s="188">
        <v>1.9646203499999999</v>
      </c>
      <c r="L191" s="188">
        <v>0.56273757499999999</v>
      </c>
      <c r="M191" s="188">
        <v>0.87599954999999996</v>
      </c>
      <c r="N191" s="188">
        <v>0</v>
      </c>
    </row>
    <row r="192" spans="1:14" s="5" customFormat="1" x14ac:dyDescent="0.15">
      <c r="A192" s="164" t="s">
        <v>354</v>
      </c>
      <c r="B192" s="46" t="s">
        <v>214</v>
      </c>
      <c r="C192" s="46" t="s">
        <v>972</v>
      </c>
      <c r="D192" s="309" t="s">
        <v>1016</v>
      </c>
      <c r="E192" s="46" t="s">
        <v>980</v>
      </c>
      <c r="F192" s="188">
        <v>14.17475</v>
      </c>
      <c r="G192" s="188">
        <v>0.576912325</v>
      </c>
      <c r="H192" s="188">
        <v>92.702865000000003</v>
      </c>
      <c r="I192" s="188">
        <v>2.1588144250000001</v>
      </c>
      <c r="J192" s="188">
        <v>9.2433544749999985</v>
      </c>
      <c r="K192" s="188">
        <v>1.9433582250000001</v>
      </c>
      <c r="L192" s="188">
        <v>0.36996097499999997</v>
      </c>
      <c r="M192" s="188">
        <v>0.86834518500000002</v>
      </c>
      <c r="N192" s="188">
        <v>0</v>
      </c>
    </row>
    <row r="193" spans="1:14" s="5" customFormat="1" x14ac:dyDescent="0.15">
      <c r="A193" s="164" t="s">
        <v>354</v>
      </c>
      <c r="B193" s="46" t="s">
        <v>215</v>
      </c>
      <c r="C193" s="46" t="s">
        <v>973</v>
      </c>
      <c r="D193" s="309" t="s">
        <v>1016</v>
      </c>
      <c r="E193" s="46" t="s">
        <v>980</v>
      </c>
      <c r="F193" s="188">
        <v>14.17475</v>
      </c>
      <c r="G193" s="188">
        <v>0.19277660000000002</v>
      </c>
      <c r="H193" s="188">
        <v>101.774705</v>
      </c>
      <c r="I193" s="188">
        <v>1.121222725</v>
      </c>
      <c r="J193" s="188">
        <v>10.740208075</v>
      </c>
      <c r="K193" s="188">
        <v>1.9589504500000001</v>
      </c>
      <c r="L193" s="188">
        <v>0.64778607500000007</v>
      </c>
      <c r="M193" s="188">
        <v>1.7096165974999999</v>
      </c>
      <c r="N193" s="188">
        <v>0</v>
      </c>
    </row>
    <row r="194" spans="1:14" s="5" customFormat="1" x14ac:dyDescent="0.15">
      <c r="A194" s="164" t="s">
        <v>354</v>
      </c>
      <c r="B194" s="46" t="s">
        <v>216</v>
      </c>
      <c r="C194" s="46" t="s">
        <v>974</v>
      </c>
      <c r="D194" s="309" t="s">
        <v>1016</v>
      </c>
      <c r="E194" s="46" t="s">
        <v>980</v>
      </c>
      <c r="F194" s="188">
        <v>14.17475</v>
      </c>
      <c r="G194" s="188">
        <v>0.55423272499999998</v>
      </c>
      <c r="H194" s="188">
        <v>79.662094999999994</v>
      </c>
      <c r="I194" s="188">
        <v>2.8732218249999999</v>
      </c>
      <c r="J194" s="188">
        <v>6.4339190249999998</v>
      </c>
      <c r="K194" s="188">
        <v>3.899473725</v>
      </c>
      <c r="L194" s="188">
        <v>1.0857858499999999</v>
      </c>
      <c r="M194" s="188">
        <v>0.78754911000000005</v>
      </c>
      <c r="N194" s="188">
        <v>0</v>
      </c>
    </row>
    <row r="195" spans="1:14" s="5" customFormat="1" ht="15" x14ac:dyDescent="0.15">
      <c r="A195" s="164" t="s">
        <v>354</v>
      </c>
      <c r="B195" s="46" t="s">
        <v>217</v>
      </c>
      <c r="C195" s="309" t="s">
        <v>1002</v>
      </c>
      <c r="D195" s="309" t="s">
        <v>1016</v>
      </c>
      <c r="E195" s="46" t="s">
        <v>980</v>
      </c>
      <c r="F195" s="188">
        <f>AVERAGE(F187:F194)</f>
        <v>14.174750000000001</v>
      </c>
      <c r="G195" s="188">
        <f t="shared" ref="G195:N195" si="4">AVERAGE(G187:G194)</f>
        <v>0.57354582187500003</v>
      </c>
      <c r="H195" s="188">
        <f t="shared" si="4"/>
        <v>89.5667015625</v>
      </c>
      <c r="I195" s="188">
        <f t="shared" si="4"/>
        <v>2.1515498656250003</v>
      </c>
      <c r="J195" s="188">
        <f t="shared" si="4"/>
        <v>8.5452480374999986</v>
      </c>
      <c r="K195" s="188">
        <f t="shared" si="4"/>
        <v>2.6054962343750003</v>
      </c>
      <c r="L195" s="188">
        <f t="shared" si="4"/>
        <v>0.67967926249999999</v>
      </c>
      <c r="M195" s="188">
        <f t="shared" si="4"/>
        <v>1.810292759375</v>
      </c>
      <c r="N195" s="188">
        <f t="shared" si="4"/>
        <v>0</v>
      </c>
    </row>
    <row r="196" spans="1:14" x14ac:dyDescent="0.15">
      <c r="A196" s="162" t="s">
        <v>390</v>
      </c>
      <c r="B196" s="152"/>
      <c r="C196" s="152"/>
      <c r="D196" s="152"/>
      <c r="E196" s="152"/>
      <c r="F196" s="156"/>
      <c r="G196" s="156"/>
      <c r="H196" s="156"/>
      <c r="I196" s="156"/>
      <c r="J196" s="156"/>
      <c r="K196" s="156"/>
      <c r="L196" s="156"/>
      <c r="M196" s="156"/>
      <c r="N196" s="168"/>
    </row>
    <row r="197" spans="1:14" x14ac:dyDescent="0.15">
      <c r="A197" s="68" t="s">
        <v>8</v>
      </c>
      <c r="B197" s="98" t="s">
        <v>218</v>
      </c>
      <c r="C197" s="98" t="s">
        <v>982</v>
      </c>
      <c r="D197" s="157" t="s">
        <v>68</v>
      </c>
      <c r="E197" s="98" t="s">
        <v>236</v>
      </c>
      <c r="F197" s="101">
        <v>1</v>
      </c>
      <c r="G197" s="101">
        <v>0.15870000000000001</v>
      </c>
      <c r="H197" s="101">
        <v>7.17</v>
      </c>
      <c r="I197" s="101">
        <v>8.5000000000000006E-3</v>
      </c>
      <c r="J197" s="101">
        <v>0.81110000000000004</v>
      </c>
      <c r="K197" s="101">
        <v>5.9999999999999995E-4</v>
      </c>
      <c r="L197" s="101">
        <v>5.9999999999999995E-4</v>
      </c>
      <c r="M197" s="101">
        <v>0.51368000000000003</v>
      </c>
      <c r="N197" s="42">
        <v>2.15</v>
      </c>
    </row>
    <row r="198" spans="1:14" x14ac:dyDescent="0.15">
      <c r="A198" s="68" t="s">
        <v>8</v>
      </c>
      <c r="B198" s="98" t="s">
        <v>219</v>
      </c>
      <c r="C198" s="98" t="s">
        <v>983</v>
      </c>
      <c r="D198" s="157" t="s">
        <v>68</v>
      </c>
      <c r="E198" s="98" t="s">
        <v>236</v>
      </c>
      <c r="F198" s="101">
        <v>1</v>
      </c>
      <c r="G198" s="101">
        <v>0.16519999999999999</v>
      </c>
      <c r="H198" s="101">
        <v>7.17</v>
      </c>
      <c r="I198" s="101">
        <v>1.6000000000000001E-3</v>
      </c>
      <c r="J198" s="101">
        <v>0.80709999999999993</v>
      </c>
      <c r="K198" s="101">
        <v>6.9999999999999993E-3</v>
      </c>
      <c r="L198" s="101">
        <v>0</v>
      </c>
      <c r="M198" s="101">
        <v>0.15189</v>
      </c>
      <c r="N198" s="42">
        <v>0</v>
      </c>
    </row>
    <row r="199" spans="1:14" x14ac:dyDescent="0.15">
      <c r="A199" s="68" t="s">
        <v>8</v>
      </c>
      <c r="B199" s="98" t="s">
        <v>220</v>
      </c>
      <c r="C199" s="98" t="s">
        <v>984</v>
      </c>
      <c r="D199" s="157" t="s">
        <v>68</v>
      </c>
      <c r="E199" s="98" t="s">
        <v>236</v>
      </c>
      <c r="F199" s="101">
        <v>1</v>
      </c>
      <c r="G199" s="101">
        <v>0</v>
      </c>
      <c r="H199" s="101">
        <v>9.02</v>
      </c>
      <c r="I199" s="101">
        <v>0</v>
      </c>
      <c r="J199" s="101">
        <v>1</v>
      </c>
      <c r="K199" s="101">
        <v>0</v>
      </c>
      <c r="L199" s="101">
        <v>0</v>
      </c>
      <c r="M199" s="101">
        <v>0.39200000000000002</v>
      </c>
      <c r="N199" s="42">
        <v>0.95000000000000007</v>
      </c>
    </row>
    <row r="200" spans="1:14" x14ac:dyDescent="0.15">
      <c r="A200" s="68" t="s">
        <v>8</v>
      </c>
      <c r="B200" s="98" t="s">
        <v>221</v>
      </c>
      <c r="C200" s="98" t="s">
        <v>985</v>
      </c>
      <c r="D200" s="157" t="s">
        <v>68</v>
      </c>
      <c r="E200" s="98" t="s">
        <v>236</v>
      </c>
      <c r="F200" s="101">
        <v>1</v>
      </c>
      <c r="G200" s="101">
        <v>0</v>
      </c>
      <c r="H200" s="101">
        <v>9.02</v>
      </c>
      <c r="I200" s="101">
        <v>0</v>
      </c>
      <c r="J200" s="101">
        <v>1</v>
      </c>
      <c r="K200" s="101">
        <v>0</v>
      </c>
      <c r="L200" s="101">
        <v>0</v>
      </c>
      <c r="M200" s="101">
        <v>0.498</v>
      </c>
      <c r="N200" s="42">
        <v>1.0900000000000001</v>
      </c>
    </row>
    <row r="201" spans="1:14" x14ac:dyDescent="0.15">
      <c r="A201" s="68" t="s">
        <v>8</v>
      </c>
      <c r="B201" s="98" t="s">
        <v>222</v>
      </c>
      <c r="C201" s="98" t="s">
        <v>986</v>
      </c>
      <c r="D201" s="157" t="s">
        <v>68</v>
      </c>
      <c r="E201" s="98" t="s">
        <v>236</v>
      </c>
      <c r="F201" s="101">
        <v>1</v>
      </c>
      <c r="G201" s="101">
        <v>0</v>
      </c>
      <c r="H201" s="101">
        <v>9</v>
      </c>
      <c r="I201" s="101">
        <v>0</v>
      </c>
      <c r="J201" s="101">
        <v>1</v>
      </c>
      <c r="K201" s="101">
        <v>0</v>
      </c>
      <c r="L201" s="101">
        <v>0</v>
      </c>
      <c r="M201" s="101">
        <v>0.40299999999999997</v>
      </c>
      <c r="N201" s="42">
        <v>0.56000000000000005</v>
      </c>
    </row>
    <row r="202" spans="1:14" s="5" customFormat="1" x14ac:dyDescent="0.15">
      <c r="A202" s="164" t="s">
        <v>8</v>
      </c>
      <c r="B202" s="46" t="s">
        <v>223</v>
      </c>
      <c r="C202" s="46" t="s">
        <v>987</v>
      </c>
      <c r="D202" s="160" t="s">
        <v>68</v>
      </c>
      <c r="E202" s="46" t="s">
        <v>236</v>
      </c>
      <c r="F202" s="101">
        <v>1</v>
      </c>
      <c r="G202" s="188">
        <v>0</v>
      </c>
      <c r="H202" s="188">
        <v>8.84</v>
      </c>
      <c r="I202" s="188">
        <v>0</v>
      </c>
      <c r="J202" s="188">
        <v>1</v>
      </c>
      <c r="K202" s="188">
        <v>0</v>
      </c>
      <c r="L202" s="188">
        <v>0</v>
      </c>
      <c r="M202" s="188">
        <v>8.0259999999999998E-2</v>
      </c>
      <c r="N202" s="285">
        <v>0</v>
      </c>
    </row>
    <row r="203" spans="1:14" s="5" customFormat="1" x14ac:dyDescent="0.15">
      <c r="A203" s="164" t="s">
        <v>8</v>
      </c>
      <c r="B203" s="46" t="s">
        <v>224</v>
      </c>
      <c r="C203" s="46" t="s">
        <v>988</v>
      </c>
      <c r="D203" s="160" t="s">
        <v>68</v>
      </c>
      <c r="E203" s="46" t="s">
        <v>236</v>
      </c>
      <c r="F203" s="101">
        <v>1</v>
      </c>
      <c r="G203" s="188">
        <v>0</v>
      </c>
      <c r="H203" s="188">
        <v>8.84</v>
      </c>
      <c r="I203" s="188">
        <v>0</v>
      </c>
      <c r="J203" s="188">
        <v>1</v>
      </c>
      <c r="K203" s="188">
        <v>0</v>
      </c>
      <c r="L203" s="188">
        <v>0</v>
      </c>
      <c r="M203" s="188">
        <v>0.14367000000000002</v>
      </c>
      <c r="N203" s="285">
        <v>0</v>
      </c>
    </row>
    <row r="204" spans="1:14" x14ac:dyDescent="0.15">
      <c r="A204" s="68" t="s">
        <v>8</v>
      </c>
      <c r="B204" s="98" t="s">
        <v>225</v>
      </c>
      <c r="C204" s="98" t="s">
        <v>989</v>
      </c>
      <c r="D204" s="157" t="s">
        <v>68</v>
      </c>
      <c r="E204" s="98" t="s">
        <v>236</v>
      </c>
      <c r="F204" s="101">
        <v>1</v>
      </c>
      <c r="G204" s="101">
        <v>0.73750000000000004</v>
      </c>
      <c r="H204" s="101">
        <v>1.95</v>
      </c>
      <c r="I204" s="101">
        <v>2.7000000000000003E-2</v>
      </c>
      <c r="J204" s="101">
        <v>0.19309999999999999</v>
      </c>
      <c r="K204" s="101">
        <v>3.6600000000000001E-2</v>
      </c>
      <c r="L204" s="101">
        <v>1.4000000000000002E-3</v>
      </c>
      <c r="M204" s="101">
        <v>0.1202</v>
      </c>
      <c r="N204" s="42">
        <v>0.66</v>
      </c>
    </row>
    <row r="205" spans="1:14" x14ac:dyDescent="0.15">
      <c r="A205" s="68" t="s">
        <v>8</v>
      </c>
      <c r="B205" s="98" t="s">
        <v>186</v>
      </c>
      <c r="C205" s="98" t="s">
        <v>990</v>
      </c>
      <c r="D205" s="157" t="s">
        <v>68</v>
      </c>
      <c r="E205" s="98" t="s">
        <v>236</v>
      </c>
      <c r="F205" s="101">
        <v>1</v>
      </c>
      <c r="G205" s="101">
        <v>0.80569999999999997</v>
      </c>
      <c r="H205" s="101">
        <v>1.3</v>
      </c>
      <c r="I205" s="101">
        <v>2.9600000000000001E-2</v>
      </c>
      <c r="J205" s="101">
        <v>0.115</v>
      </c>
      <c r="K205" s="101">
        <v>4.2999999999999997E-2</v>
      </c>
      <c r="L205" s="101">
        <v>1.6000000000000001E-3</v>
      </c>
      <c r="M205" s="101">
        <v>7.1580000000000005E-2</v>
      </c>
      <c r="N205" s="42">
        <v>0.37</v>
      </c>
    </row>
    <row r="206" spans="1:14" x14ac:dyDescent="0.15">
      <c r="A206" s="68" t="s">
        <v>8</v>
      </c>
      <c r="B206" s="98" t="s">
        <v>226</v>
      </c>
      <c r="C206" s="98" t="s">
        <v>991</v>
      </c>
      <c r="D206" s="157" t="s">
        <v>68</v>
      </c>
      <c r="E206" s="98" t="s">
        <v>236</v>
      </c>
      <c r="F206" s="101">
        <v>1</v>
      </c>
      <c r="G206" s="101">
        <v>0.57710000000000006</v>
      </c>
      <c r="H206" s="101">
        <v>3.45</v>
      </c>
      <c r="I206" s="101">
        <v>2.0499999999999997E-2</v>
      </c>
      <c r="J206" s="101">
        <v>0.37</v>
      </c>
      <c r="K206" s="101">
        <v>2.7900000000000001E-2</v>
      </c>
      <c r="L206" s="101">
        <v>1.1000000000000001E-3</v>
      </c>
      <c r="M206" s="101">
        <v>0.23032</v>
      </c>
      <c r="N206" s="42">
        <v>1.37</v>
      </c>
    </row>
    <row r="207" spans="1:14" x14ac:dyDescent="0.15">
      <c r="A207" s="68" t="s">
        <v>8</v>
      </c>
      <c r="B207" s="98" t="s">
        <v>227</v>
      </c>
      <c r="C207" s="98" t="s">
        <v>992</v>
      </c>
      <c r="D207" s="157" t="s">
        <v>68</v>
      </c>
      <c r="E207" s="98" t="s">
        <v>236</v>
      </c>
      <c r="F207" s="101">
        <v>1</v>
      </c>
      <c r="G207" s="101">
        <v>0.71</v>
      </c>
      <c r="H207" s="101">
        <v>1.81</v>
      </c>
      <c r="I207" s="101">
        <v>7.0000000000000007E-2</v>
      </c>
      <c r="J207" s="101">
        <v>0.14099999999999999</v>
      </c>
      <c r="K207" s="101">
        <v>7.0000000000000007E-2</v>
      </c>
      <c r="L207" s="101">
        <v>3.0000000000000001E-3</v>
      </c>
      <c r="M207" s="101">
        <v>8.6999999999999994E-2</v>
      </c>
      <c r="N207" s="42">
        <v>0.35000000000000003</v>
      </c>
    </row>
    <row r="208" spans="1:14" x14ac:dyDescent="0.15">
      <c r="A208" s="68" t="s">
        <v>8</v>
      </c>
      <c r="B208" s="98" t="s">
        <v>228</v>
      </c>
      <c r="C208" s="98" t="s">
        <v>993</v>
      </c>
      <c r="D208" s="157" t="s">
        <v>68</v>
      </c>
      <c r="E208" s="98" t="s">
        <v>236</v>
      </c>
      <c r="F208" s="101">
        <v>1</v>
      </c>
      <c r="G208" s="101">
        <v>0.5444</v>
      </c>
      <c r="H208" s="101">
        <v>3.42</v>
      </c>
      <c r="I208" s="101">
        <v>5.9299999999999999E-2</v>
      </c>
      <c r="J208" s="101">
        <v>0.34240000000000004</v>
      </c>
      <c r="K208" s="101">
        <v>4.0700000000000007E-2</v>
      </c>
      <c r="L208" s="101">
        <v>3.2100000000000004E-2</v>
      </c>
      <c r="M208" s="101">
        <v>0.19292000000000001</v>
      </c>
      <c r="N208" s="42">
        <v>1.1000000000000001</v>
      </c>
    </row>
    <row r="209" spans="1:14" x14ac:dyDescent="0.15">
      <c r="A209" s="68" t="s">
        <v>8</v>
      </c>
      <c r="B209" s="98" t="s">
        <v>187</v>
      </c>
      <c r="C209" s="98" t="s">
        <v>994</v>
      </c>
      <c r="D209" s="157" t="s">
        <v>68</v>
      </c>
      <c r="E209" s="98" t="s">
        <v>236</v>
      </c>
      <c r="F209" s="101">
        <v>1</v>
      </c>
      <c r="G209" s="101">
        <v>0.82540000000000013</v>
      </c>
      <c r="H209" s="101">
        <v>0.88</v>
      </c>
      <c r="I209" s="101">
        <v>4.5499999999999999E-2</v>
      </c>
      <c r="J209" s="101">
        <v>4.1900000000000007E-2</v>
      </c>
      <c r="K209" s="101">
        <v>8.0500000000000002E-2</v>
      </c>
      <c r="L209" s="101">
        <v>8.4100000000000008E-2</v>
      </c>
      <c r="M209" s="101">
        <v>2.5910000000000002E-2</v>
      </c>
      <c r="N209" s="42">
        <v>0.59</v>
      </c>
    </row>
    <row r="210" spans="1:14" x14ac:dyDescent="0.15">
      <c r="A210" s="162" t="s">
        <v>391</v>
      </c>
      <c r="B210" s="152"/>
      <c r="C210" s="152"/>
      <c r="D210" s="158"/>
      <c r="E210" s="152"/>
      <c r="F210" s="156"/>
      <c r="G210" s="156"/>
      <c r="H210" s="156"/>
      <c r="I210" s="156"/>
      <c r="J210" s="156"/>
      <c r="K210" s="156"/>
      <c r="L210" s="156"/>
      <c r="M210" s="156"/>
      <c r="N210" s="168"/>
    </row>
    <row r="211" spans="1:14" x14ac:dyDescent="0.15">
      <c r="A211" s="68" t="s">
        <v>9</v>
      </c>
      <c r="B211" s="98" t="s">
        <v>229</v>
      </c>
      <c r="C211" s="98" t="s">
        <v>995</v>
      </c>
      <c r="D211" s="157" t="s">
        <v>68</v>
      </c>
      <c r="E211" s="98" t="s">
        <v>235</v>
      </c>
      <c r="F211" s="101">
        <v>4.2</v>
      </c>
      <c r="G211" s="101">
        <v>1.9460000000000002E-2</v>
      </c>
      <c r="H211" s="101">
        <v>16.324000000000002</v>
      </c>
      <c r="I211" s="101">
        <v>1.6800000000000001E-3</v>
      </c>
      <c r="J211" s="101">
        <v>0</v>
      </c>
      <c r="K211" s="101">
        <v>4.1701800000000002</v>
      </c>
      <c r="L211" s="101">
        <v>4.1441400000000002</v>
      </c>
      <c r="M211" s="101">
        <v>0</v>
      </c>
      <c r="N211" s="42">
        <v>0</v>
      </c>
    </row>
    <row r="212" spans="1:14" x14ac:dyDescent="0.15">
      <c r="A212" s="68" t="s">
        <v>9</v>
      </c>
      <c r="B212" s="98" t="s">
        <v>230</v>
      </c>
      <c r="C212" s="98" t="s">
        <v>996</v>
      </c>
      <c r="D212" s="157" t="s">
        <v>68</v>
      </c>
      <c r="E212" s="98" t="s">
        <v>235</v>
      </c>
      <c r="F212" s="101">
        <v>6.333333333333333</v>
      </c>
      <c r="G212" s="101">
        <v>1.52</v>
      </c>
      <c r="H212" s="101">
        <v>17.796666666666667</v>
      </c>
      <c r="I212" s="101">
        <v>0</v>
      </c>
      <c r="J212" s="101">
        <v>0</v>
      </c>
      <c r="K212" s="101">
        <v>4.8133333333333335</v>
      </c>
      <c r="L212" s="101">
        <v>1.6694666666666667</v>
      </c>
      <c r="M212" s="101">
        <v>0</v>
      </c>
      <c r="N212" s="42">
        <v>0</v>
      </c>
    </row>
    <row r="213" spans="1:14" x14ac:dyDescent="0.15">
      <c r="A213" s="68" t="s">
        <v>9</v>
      </c>
      <c r="B213" s="98" t="s">
        <v>231</v>
      </c>
      <c r="C213" s="309" t="s">
        <v>1140</v>
      </c>
      <c r="D213" s="157" t="s">
        <v>68</v>
      </c>
      <c r="E213" s="98" t="s">
        <v>235</v>
      </c>
      <c r="F213" s="101">
        <v>4.2</v>
      </c>
      <c r="G213" s="101">
        <v>1.9460000000000002E-2</v>
      </c>
      <c r="H213" s="101">
        <v>16.324000000000002</v>
      </c>
      <c r="I213" s="101">
        <v>1.6800000000000001E-3</v>
      </c>
      <c r="J213" s="101">
        <v>0</v>
      </c>
      <c r="K213" s="101">
        <v>4.1701800000000002</v>
      </c>
      <c r="L213" s="101">
        <v>4.1441400000000002</v>
      </c>
      <c r="M213" s="101">
        <v>0</v>
      </c>
      <c r="N213" s="42">
        <v>0</v>
      </c>
    </row>
    <row r="214" spans="1:14" x14ac:dyDescent="0.15">
      <c r="A214" s="68" t="s">
        <v>9</v>
      </c>
      <c r="B214" s="98" t="s">
        <v>232</v>
      </c>
      <c r="C214" s="309" t="s">
        <v>1140</v>
      </c>
      <c r="D214" s="157" t="s">
        <v>68</v>
      </c>
      <c r="E214" s="98" t="s">
        <v>235</v>
      </c>
      <c r="F214" s="101">
        <v>4.2</v>
      </c>
      <c r="G214" s="101">
        <v>1.9460000000000002E-2</v>
      </c>
      <c r="H214" s="101">
        <v>16.324000000000002</v>
      </c>
      <c r="I214" s="101">
        <v>1.6800000000000001E-3</v>
      </c>
      <c r="J214" s="101">
        <v>0</v>
      </c>
      <c r="K214" s="101">
        <v>4.1701800000000002</v>
      </c>
      <c r="L214" s="101">
        <v>4.1441400000000002</v>
      </c>
      <c r="M214" s="101">
        <v>0</v>
      </c>
      <c r="N214" s="42">
        <v>0</v>
      </c>
    </row>
    <row r="215" spans="1:14" x14ac:dyDescent="0.15">
      <c r="A215" s="68" t="s">
        <v>9</v>
      </c>
      <c r="B215" s="98" t="s">
        <v>233</v>
      </c>
      <c r="C215" s="315" t="s">
        <v>1217</v>
      </c>
      <c r="D215" s="157" t="s">
        <v>68</v>
      </c>
      <c r="E215" s="98" t="s">
        <v>235</v>
      </c>
      <c r="F215" s="101">
        <v>6.666666666666667</v>
      </c>
      <c r="G215" s="101">
        <v>1.7466666666666666</v>
      </c>
      <c r="H215" s="101">
        <v>19.044444444444444</v>
      </c>
      <c r="I215" s="101">
        <v>8.8888888888888893E-4</v>
      </c>
      <c r="J215" s="101">
        <v>3.5555555555555557E-3</v>
      </c>
      <c r="K215" s="101">
        <v>4.899111111111111</v>
      </c>
      <c r="L215" s="101">
        <v>4.2879999999999994</v>
      </c>
      <c r="M215" s="101">
        <v>5.9999999999999995E-4</v>
      </c>
      <c r="N215" s="42">
        <v>0</v>
      </c>
    </row>
    <row r="216" spans="1:14" x14ac:dyDescent="0.15">
      <c r="A216" s="68" t="s">
        <v>9</v>
      </c>
      <c r="B216" s="98" t="s">
        <v>234</v>
      </c>
      <c r="C216" s="315" t="s">
        <v>1218</v>
      </c>
      <c r="D216" s="157" t="s">
        <v>68</v>
      </c>
      <c r="E216" s="98" t="s">
        <v>235</v>
      </c>
      <c r="F216" s="101">
        <v>7</v>
      </c>
      <c r="G216" s="101">
        <v>1.1970000000000001</v>
      </c>
      <c r="H216" s="101">
        <v>21.28</v>
      </c>
      <c r="I216" s="101">
        <v>2.1000000000000001E-2</v>
      </c>
      <c r="J216" s="101">
        <v>0</v>
      </c>
      <c r="K216" s="101">
        <v>5.7680000000000007</v>
      </c>
      <c r="L216" s="101">
        <v>5.7484000000000002</v>
      </c>
      <c r="M216" s="101">
        <v>0</v>
      </c>
      <c r="N216" s="42">
        <v>0</v>
      </c>
    </row>
    <row r="217" spans="1:14" x14ac:dyDescent="0.15">
      <c r="A217" s="162" t="s">
        <v>392</v>
      </c>
      <c r="B217" s="153"/>
      <c r="C217" s="153"/>
      <c r="D217" s="153"/>
      <c r="E217" s="153"/>
      <c r="F217" s="153"/>
      <c r="G217" s="153"/>
      <c r="H217" s="153"/>
      <c r="I217" s="153"/>
      <c r="J217" s="153"/>
      <c r="K217" s="153"/>
      <c r="L217" s="153"/>
      <c r="M217" s="153"/>
      <c r="N217" s="163"/>
    </row>
    <row r="219" spans="1:14" s="308" customFormat="1" x14ac:dyDescent="0.15">
      <c r="A219" s="308" t="s">
        <v>919</v>
      </c>
    </row>
    <row r="220" spans="1:14" s="308" customFormat="1" x14ac:dyDescent="0.15">
      <c r="A220" s="195" t="s">
        <v>920</v>
      </c>
    </row>
    <row r="221" spans="1:14" x14ac:dyDescent="0.15">
      <c r="A221" s="309" t="s">
        <v>923</v>
      </c>
    </row>
    <row r="222" spans="1:14" s="308" customFormat="1" x14ac:dyDescent="0.15">
      <c r="A222" s="396" t="s">
        <v>1004</v>
      </c>
    </row>
    <row r="223" spans="1:14" s="308" customFormat="1" x14ac:dyDescent="0.15">
      <c r="A223" s="396" t="s">
        <v>1003</v>
      </c>
    </row>
    <row r="224" spans="1:14" s="308" customFormat="1" x14ac:dyDescent="0.15">
      <c r="A224" s="309" t="s">
        <v>1005</v>
      </c>
    </row>
    <row r="225" spans="1:1" s="308" customFormat="1" x14ac:dyDescent="0.15">
      <c r="A225" s="309" t="s">
        <v>1006</v>
      </c>
    </row>
    <row r="226" spans="1:1" s="308" customFormat="1" x14ac:dyDescent="0.15">
      <c r="A226" s="309" t="s">
        <v>1008</v>
      </c>
    </row>
    <row r="227" spans="1:1" s="308" customFormat="1" x14ac:dyDescent="0.15">
      <c r="A227" s="309" t="s">
        <v>1007</v>
      </c>
    </row>
    <row r="228" spans="1:1" s="308" customFormat="1" x14ac:dyDescent="0.15"/>
    <row r="229" spans="1:1" x14ac:dyDescent="0.15">
      <c r="A229" s="308"/>
    </row>
    <row r="230" spans="1:1" x14ac:dyDescent="0.15">
      <c r="A230" s="374"/>
    </row>
  </sheetData>
  <mergeCells count="1">
    <mergeCell ref="A2:D4"/>
  </mergeCells>
  <phoneticPr fontId="4" type="noConversion"/>
  <pageMargins left="0.75" right="0.75" top="1" bottom="1" header="0.5" footer="0.5"/>
  <pageSetup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5"/>
  <sheetViews>
    <sheetView topLeftCell="A193" workbookViewId="0">
      <selection activeCell="A224" sqref="A224"/>
    </sheetView>
  </sheetViews>
  <sheetFormatPr baseColWidth="10" defaultColWidth="8.83203125" defaultRowHeight="13" x14ac:dyDescent="0.15"/>
  <cols>
    <col min="1" max="1" width="25.83203125" bestFit="1" customWidth="1"/>
    <col min="2" max="2" width="27.5" bestFit="1" customWidth="1"/>
    <col min="3" max="3" width="14.6640625" customWidth="1"/>
    <col min="4" max="4" width="20.5" bestFit="1" customWidth="1"/>
    <col min="5" max="13" width="10.6640625" customWidth="1"/>
  </cols>
  <sheetData>
    <row r="1" spans="1:12" ht="14" thickBot="1" x14ac:dyDescent="0.2">
      <c r="A1" s="1" t="s">
        <v>23</v>
      </c>
    </row>
    <row r="2" spans="1:12" x14ac:dyDescent="0.15">
      <c r="A2" s="836" t="s">
        <v>243</v>
      </c>
      <c r="B2" s="845"/>
      <c r="C2" s="845"/>
      <c r="D2" s="845"/>
      <c r="E2" s="845"/>
      <c r="F2" s="845"/>
      <c r="G2" s="845"/>
      <c r="H2" s="845"/>
      <c r="I2" s="845"/>
      <c r="J2" s="846"/>
    </row>
    <row r="3" spans="1:12" x14ac:dyDescent="0.15">
      <c r="A3" s="868"/>
      <c r="B3" s="869"/>
      <c r="C3" s="869"/>
      <c r="D3" s="869"/>
      <c r="E3" s="869"/>
      <c r="F3" s="869"/>
      <c r="G3" s="869"/>
      <c r="H3" s="869"/>
      <c r="I3" s="869"/>
      <c r="J3" s="870"/>
    </row>
    <row r="4" spans="1:12" ht="14" thickBot="1" x14ac:dyDescent="0.2">
      <c r="A4" s="847"/>
      <c r="B4" s="848"/>
      <c r="C4" s="848"/>
      <c r="D4" s="848"/>
      <c r="E4" s="848"/>
      <c r="F4" s="848"/>
      <c r="G4" s="848"/>
      <c r="H4" s="848"/>
      <c r="I4" s="848"/>
      <c r="J4" s="849"/>
    </row>
    <row r="6" spans="1:12" ht="104" x14ac:dyDescent="0.15">
      <c r="A6" s="159" t="s">
        <v>3</v>
      </c>
      <c r="B6" s="19" t="s">
        <v>27</v>
      </c>
      <c r="C6" s="19" t="s">
        <v>59</v>
      </c>
      <c r="D6" s="24" t="s">
        <v>237</v>
      </c>
      <c r="E6" s="27" t="s">
        <v>239</v>
      </c>
      <c r="F6" s="27" t="s">
        <v>240</v>
      </c>
      <c r="G6" s="27" t="s">
        <v>241</v>
      </c>
      <c r="H6" s="27" t="s">
        <v>242</v>
      </c>
      <c r="I6" s="27" t="s">
        <v>336</v>
      </c>
      <c r="J6" s="27" t="s">
        <v>337</v>
      </c>
      <c r="K6" s="27" t="s">
        <v>338</v>
      </c>
      <c r="L6" s="27" t="s">
        <v>339</v>
      </c>
    </row>
    <row r="7" spans="1:12" x14ac:dyDescent="0.15">
      <c r="A7" s="68" t="s">
        <v>4</v>
      </c>
      <c r="B7" s="12" t="s">
        <v>60</v>
      </c>
      <c r="C7" s="12" t="s">
        <v>63</v>
      </c>
      <c r="D7" s="98" t="s">
        <v>238</v>
      </c>
      <c r="E7" s="102">
        <v>20</v>
      </c>
      <c r="F7" s="102">
        <v>0</v>
      </c>
      <c r="G7" s="102">
        <v>12</v>
      </c>
      <c r="H7" s="78">
        <v>0</v>
      </c>
      <c r="I7" s="49">
        <f>(100/(100-E7))</f>
        <v>1.25</v>
      </c>
      <c r="J7" s="103">
        <f>(100/(100-F7))</f>
        <v>1</v>
      </c>
      <c r="K7" s="103">
        <f>(100/(100-G7))</f>
        <v>1.1363636363636365</v>
      </c>
      <c r="L7" s="104">
        <f>(100/(100-H7))</f>
        <v>1</v>
      </c>
    </row>
    <row r="8" spans="1:12" x14ac:dyDescent="0.15">
      <c r="A8" s="68" t="s">
        <v>4</v>
      </c>
      <c r="B8" s="12" t="s">
        <v>61</v>
      </c>
      <c r="C8" s="12" t="s">
        <v>63</v>
      </c>
      <c r="D8" s="98" t="s">
        <v>238</v>
      </c>
      <c r="E8" s="102">
        <v>20</v>
      </c>
      <c r="F8" s="102">
        <v>0</v>
      </c>
      <c r="G8" s="102">
        <v>12</v>
      </c>
      <c r="H8" s="76">
        <v>0</v>
      </c>
      <c r="I8" s="103">
        <f t="shared" ref="I8:I77" si="0">(100/(100-E8))</f>
        <v>1.25</v>
      </c>
      <c r="J8" s="103">
        <f t="shared" ref="J8:J77" si="1">(100/(100-F8))</f>
        <v>1</v>
      </c>
      <c r="K8" s="103">
        <f t="shared" ref="K8:K77" si="2">(100/(100-G8))</f>
        <v>1.1363636363636365</v>
      </c>
      <c r="L8" s="65">
        <f t="shared" ref="L8:L77" si="3">(100/(100-H8))</f>
        <v>1</v>
      </c>
    </row>
    <row r="9" spans="1:12" x14ac:dyDescent="0.15">
      <c r="A9" s="68" t="s">
        <v>4</v>
      </c>
      <c r="B9" s="13" t="s">
        <v>62</v>
      </c>
      <c r="C9" s="12" t="s">
        <v>63</v>
      </c>
      <c r="D9" s="98" t="s">
        <v>238</v>
      </c>
      <c r="E9" s="102">
        <v>20</v>
      </c>
      <c r="F9" s="102">
        <v>0</v>
      </c>
      <c r="G9" s="102">
        <v>12</v>
      </c>
      <c r="H9" s="76">
        <v>0</v>
      </c>
      <c r="I9" s="103">
        <f t="shared" si="0"/>
        <v>1.25</v>
      </c>
      <c r="J9" s="103">
        <f t="shared" si="1"/>
        <v>1</v>
      </c>
      <c r="K9" s="103">
        <f t="shared" si="2"/>
        <v>1.1363636363636365</v>
      </c>
      <c r="L9" s="65">
        <f t="shared" si="3"/>
        <v>1</v>
      </c>
    </row>
    <row r="10" spans="1:12" x14ac:dyDescent="0.15">
      <c r="A10" s="68" t="s">
        <v>4</v>
      </c>
      <c r="B10" s="13" t="s">
        <v>54</v>
      </c>
      <c r="C10" s="12" t="s">
        <v>63</v>
      </c>
      <c r="D10" s="98" t="s">
        <v>238</v>
      </c>
      <c r="E10" s="102">
        <v>20</v>
      </c>
      <c r="F10" s="102">
        <v>0</v>
      </c>
      <c r="G10" s="102">
        <v>12</v>
      </c>
      <c r="H10" s="76">
        <v>0</v>
      </c>
      <c r="I10" s="103">
        <f t="shared" si="0"/>
        <v>1.25</v>
      </c>
      <c r="J10" s="103">
        <f t="shared" si="1"/>
        <v>1</v>
      </c>
      <c r="K10" s="103">
        <f t="shared" si="2"/>
        <v>1.1363636363636365</v>
      </c>
      <c r="L10" s="65">
        <f t="shared" si="3"/>
        <v>1</v>
      </c>
    </row>
    <row r="11" spans="1:12" x14ac:dyDescent="0.15">
      <c r="A11" s="68" t="s">
        <v>4</v>
      </c>
      <c r="B11" s="13" t="s">
        <v>55</v>
      </c>
      <c r="C11" s="12" t="s">
        <v>63</v>
      </c>
      <c r="D11" s="98" t="s">
        <v>238</v>
      </c>
      <c r="E11" s="102">
        <v>20</v>
      </c>
      <c r="F11" s="102">
        <v>0</v>
      </c>
      <c r="G11" s="102">
        <v>12</v>
      </c>
      <c r="H11" s="76">
        <v>0</v>
      </c>
      <c r="I11" s="103">
        <f t="shared" si="0"/>
        <v>1.25</v>
      </c>
      <c r="J11" s="103">
        <f t="shared" si="1"/>
        <v>1</v>
      </c>
      <c r="K11" s="103">
        <f t="shared" si="2"/>
        <v>1.1363636363636365</v>
      </c>
      <c r="L11" s="65">
        <f t="shared" si="3"/>
        <v>1</v>
      </c>
    </row>
    <row r="12" spans="1:12" x14ac:dyDescent="0.15">
      <c r="A12" s="68" t="s">
        <v>4</v>
      </c>
      <c r="B12" s="12" t="s">
        <v>56</v>
      </c>
      <c r="C12" s="12" t="s">
        <v>63</v>
      </c>
      <c r="D12" s="98" t="s">
        <v>238</v>
      </c>
      <c r="E12" s="102">
        <v>20</v>
      </c>
      <c r="F12" s="102">
        <v>0</v>
      </c>
      <c r="G12" s="102">
        <v>12</v>
      </c>
      <c r="H12" s="76">
        <v>0</v>
      </c>
      <c r="I12" s="103">
        <f t="shared" si="0"/>
        <v>1.25</v>
      </c>
      <c r="J12" s="103">
        <f t="shared" si="1"/>
        <v>1</v>
      </c>
      <c r="K12" s="103">
        <f t="shared" si="2"/>
        <v>1.1363636363636365</v>
      </c>
      <c r="L12" s="65">
        <f t="shared" si="3"/>
        <v>1</v>
      </c>
    </row>
    <row r="13" spans="1:12" x14ac:dyDescent="0.15">
      <c r="A13" s="68" t="s">
        <v>4</v>
      </c>
      <c r="B13" s="12" t="s">
        <v>36</v>
      </c>
      <c r="C13" s="12" t="s">
        <v>63</v>
      </c>
      <c r="D13" s="98" t="s">
        <v>238</v>
      </c>
      <c r="E13" s="102">
        <v>20</v>
      </c>
      <c r="F13" s="102">
        <v>0</v>
      </c>
      <c r="G13" s="102">
        <v>12</v>
      </c>
      <c r="H13" s="76">
        <v>0</v>
      </c>
      <c r="I13" s="103">
        <f t="shared" si="0"/>
        <v>1.25</v>
      </c>
      <c r="J13" s="103">
        <f t="shared" si="1"/>
        <v>1</v>
      </c>
      <c r="K13" s="103">
        <f t="shared" si="2"/>
        <v>1.1363636363636365</v>
      </c>
      <c r="L13" s="65">
        <f t="shared" si="3"/>
        <v>1</v>
      </c>
    </row>
    <row r="14" spans="1:12" x14ac:dyDescent="0.15">
      <c r="A14" s="68" t="s">
        <v>4</v>
      </c>
      <c r="B14" s="13" t="s">
        <v>57</v>
      </c>
      <c r="C14" s="12" t="s">
        <v>63</v>
      </c>
      <c r="D14" s="98" t="s">
        <v>238</v>
      </c>
      <c r="E14" s="102">
        <v>20</v>
      </c>
      <c r="F14" s="102">
        <v>20</v>
      </c>
      <c r="G14" s="102">
        <v>12</v>
      </c>
      <c r="H14" s="76">
        <v>0</v>
      </c>
      <c r="I14" s="103">
        <f t="shared" si="0"/>
        <v>1.25</v>
      </c>
      <c r="J14" s="103">
        <f t="shared" si="1"/>
        <v>1.25</v>
      </c>
      <c r="K14" s="103">
        <f t="shared" si="2"/>
        <v>1.1363636363636365</v>
      </c>
      <c r="L14" s="65">
        <f t="shared" si="3"/>
        <v>1</v>
      </c>
    </row>
    <row r="15" spans="1:12" x14ac:dyDescent="0.15">
      <c r="A15" s="68" t="s">
        <v>4</v>
      </c>
      <c r="B15" s="13" t="s">
        <v>58</v>
      </c>
      <c r="C15" s="12" t="s">
        <v>63</v>
      </c>
      <c r="D15" s="98" t="s">
        <v>238</v>
      </c>
      <c r="E15" s="102">
        <v>20</v>
      </c>
      <c r="F15" s="102">
        <v>20</v>
      </c>
      <c r="G15" s="102">
        <v>12</v>
      </c>
      <c r="H15" s="76">
        <v>0</v>
      </c>
      <c r="I15" s="173">
        <f t="shared" si="0"/>
        <v>1.25</v>
      </c>
      <c r="J15" s="103">
        <f t="shared" si="1"/>
        <v>1.25</v>
      </c>
      <c r="K15" s="103">
        <f t="shared" si="2"/>
        <v>1.1363636363636365</v>
      </c>
      <c r="L15" s="65">
        <f t="shared" si="3"/>
        <v>1</v>
      </c>
    </row>
    <row r="16" spans="1:12" x14ac:dyDescent="0.15">
      <c r="A16" s="162" t="s">
        <v>383</v>
      </c>
      <c r="B16" s="174"/>
      <c r="C16" s="174"/>
      <c r="D16" s="152"/>
      <c r="E16" s="175"/>
      <c r="F16" s="175"/>
      <c r="G16" s="175"/>
      <c r="H16" s="175"/>
      <c r="I16" s="176"/>
      <c r="J16" s="176"/>
      <c r="K16" s="176"/>
      <c r="L16" s="180"/>
    </row>
    <row r="17" spans="1:12" x14ac:dyDescent="0.15">
      <c r="A17" s="68" t="s">
        <v>79</v>
      </c>
      <c r="B17" s="98" t="s">
        <v>80</v>
      </c>
      <c r="C17" s="99" t="s">
        <v>429</v>
      </c>
      <c r="D17" s="46" t="s">
        <v>244</v>
      </c>
      <c r="E17" s="102">
        <v>20</v>
      </c>
      <c r="F17" s="102">
        <v>39</v>
      </c>
      <c r="G17" s="102">
        <v>11.9542269949738</v>
      </c>
      <c r="H17" s="76">
        <v>8</v>
      </c>
      <c r="I17" s="103">
        <f t="shared" si="0"/>
        <v>1.25</v>
      </c>
      <c r="J17" s="103">
        <f t="shared" si="1"/>
        <v>1.639344262295082</v>
      </c>
      <c r="K17" s="103">
        <f t="shared" si="2"/>
        <v>1.1357728666234934</v>
      </c>
      <c r="L17" s="65">
        <f t="shared" si="3"/>
        <v>1.0869565217391304</v>
      </c>
    </row>
    <row r="18" spans="1:12" x14ac:dyDescent="0.15">
      <c r="A18" s="68" t="s">
        <v>79</v>
      </c>
      <c r="B18" s="98" t="s">
        <v>80</v>
      </c>
      <c r="C18" s="99" t="s">
        <v>432</v>
      </c>
      <c r="D18" s="46" t="s">
        <v>244</v>
      </c>
      <c r="E18" s="102">
        <v>16</v>
      </c>
      <c r="F18" s="102">
        <v>0</v>
      </c>
      <c r="G18" s="102">
        <v>6</v>
      </c>
      <c r="H18" s="76">
        <v>24.812000000000001</v>
      </c>
      <c r="I18" s="103">
        <f t="shared" si="0"/>
        <v>1.1904761904761905</v>
      </c>
      <c r="J18" s="103">
        <f t="shared" si="1"/>
        <v>1</v>
      </c>
      <c r="K18" s="103">
        <f t="shared" si="2"/>
        <v>1.0638297872340425</v>
      </c>
      <c r="L18" s="65">
        <f t="shared" si="3"/>
        <v>1.3299994680002127</v>
      </c>
    </row>
    <row r="19" spans="1:12" x14ac:dyDescent="0.15">
      <c r="A19" s="164" t="s">
        <v>79</v>
      </c>
      <c r="B19" s="46" t="s">
        <v>81</v>
      </c>
      <c r="C19" s="99" t="s">
        <v>429</v>
      </c>
      <c r="D19" s="46" t="s">
        <v>244</v>
      </c>
      <c r="E19" s="102">
        <v>20</v>
      </c>
      <c r="F19" s="102">
        <v>43</v>
      </c>
      <c r="G19" s="102">
        <v>37.466848748590515</v>
      </c>
      <c r="H19" s="76">
        <v>12</v>
      </c>
      <c r="I19" s="103">
        <f t="shared" si="0"/>
        <v>1.25</v>
      </c>
      <c r="J19" s="103">
        <f t="shared" si="1"/>
        <v>1.7543859649122806</v>
      </c>
      <c r="K19" s="103">
        <f t="shared" si="2"/>
        <v>1.5991517778779143</v>
      </c>
      <c r="L19" s="65">
        <f t="shared" si="3"/>
        <v>1.1363636363636365</v>
      </c>
    </row>
    <row r="20" spans="1:12" x14ac:dyDescent="0.15">
      <c r="A20" s="164" t="s">
        <v>79</v>
      </c>
      <c r="B20" s="46" t="s">
        <v>82</v>
      </c>
      <c r="C20" s="99" t="s">
        <v>429</v>
      </c>
      <c r="D20" s="46" t="s">
        <v>244</v>
      </c>
      <c r="E20" s="102">
        <v>20</v>
      </c>
      <c r="F20" s="102">
        <v>43</v>
      </c>
      <c r="G20" s="102">
        <v>37.466848748590515</v>
      </c>
      <c r="H20" s="76">
        <v>12</v>
      </c>
      <c r="I20" s="103">
        <f t="shared" si="0"/>
        <v>1.25</v>
      </c>
      <c r="J20" s="103">
        <f t="shared" si="1"/>
        <v>1.7543859649122806</v>
      </c>
      <c r="K20" s="103">
        <f t="shared" si="2"/>
        <v>1.5991517778779143</v>
      </c>
      <c r="L20" s="65">
        <f t="shared" si="3"/>
        <v>1.1363636363636365</v>
      </c>
    </row>
    <row r="21" spans="1:12" x14ac:dyDescent="0.15">
      <c r="A21" s="68" t="s">
        <v>79</v>
      </c>
      <c r="B21" s="98" t="s">
        <v>83</v>
      </c>
      <c r="C21" s="99" t="s">
        <v>429</v>
      </c>
      <c r="D21" s="46" t="s">
        <v>244</v>
      </c>
      <c r="E21" s="102">
        <v>20</v>
      </c>
      <c r="F21" s="102">
        <v>39</v>
      </c>
      <c r="G21" s="102">
        <v>39.174414143471374</v>
      </c>
      <c r="H21" s="76">
        <v>12</v>
      </c>
      <c r="I21" s="103">
        <f t="shared" si="0"/>
        <v>1.25</v>
      </c>
      <c r="J21" s="103">
        <f t="shared" si="1"/>
        <v>1.639344262295082</v>
      </c>
      <c r="K21" s="103">
        <f t="shared" si="2"/>
        <v>1.6440449950761411</v>
      </c>
      <c r="L21" s="65">
        <f t="shared" si="3"/>
        <v>1.1363636363636365</v>
      </c>
    </row>
    <row r="22" spans="1:12" x14ac:dyDescent="0.15">
      <c r="A22" s="68" t="s">
        <v>79</v>
      </c>
      <c r="B22" s="98" t="s">
        <v>84</v>
      </c>
      <c r="C22" s="99" t="s">
        <v>429</v>
      </c>
      <c r="D22" s="46" t="s">
        <v>244</v>
      </c>
      <c r="E22" s="102">
        <v>20</v>
      </c>
      <c r="F22" s="102">
        <v>20.667000000000002</v>
      </c>
      <c r="G22" s="102">
        <v>13.910993664738221</v>
      </c>
      <c r="H22" s="76">
        <v>7</v>
      </c>
      <c r="I22" s="103">
        <f t="shared" si="0"/>
        <v>1.25</v>
      </c>
      <c r="J22" s="103">
        <f t="shared" si="1"/>
        <v>1.260509497939067</v>
      </c>
      <c r="K22" s="103">
        <f t="shared" si="2"/>
        <v>1.1615885030727822</v>
      </c>
      <c r="L22" s="65">
        <f t="shared" si="3"/>
        <v>1.075268817204301</v>
      </c>
    </row>
    <row r="23" spans="1:12" x14ac:dyDescent="0.15">
      <c r="A23" s="68" t="s">
        <v>79</v>
      </c>
      <c r="B23" s="98" t="s">
        <v>85</v>
      </c>
      <c r="C23" s="99" t="s">
        <v>429</v>
      </c>
      <c r="D23" s="46" t="s">
        <v>244</v>
      </c>
      <c r="E23" s="102">
        <v>20</v>
      </c>
      <c r="F23" s="102">
        <v>7</v>
      </c>
      <c r="G23" s="102">
        <v>63.643298873244902</v>
      </c>
      <c r="H23" s="76">
        <v>12</v>
      </c>
      <c r="I23" s="103">
        <f t="shared" si="0"/>
        <v>1.25</v>
      </c>
      <c r="J23" s="103">
        <f t="shared" si="1"/>
        <v>1.075268817204301</v>
      </c>
      <c r="K23" s="103">
        <f t="shared" si="2"/>
        <v>2.7505245773360181</v>
      </c>
      <c r="L23" s="65">
        <f t="shared" si="3"/>
        <v>1.1363636363636365</v>
      </c>
    </row>
    <row r="24" spans="1:12" x14ac:dyDescent="0.15">
      <c r="A24" s="68" t="s">
        <v>79</v>
      </c>
      <c r="B24" s="98" t="s">
        <v>86</v>
      </c>
      <c r="C24" s="99" t="s">
        <v>429</v>
      </c>
      <c r="D24" s="46" t="s">
        <v>244</v>
      </c>
      <c r="E24" s="102">
        <v>20</v>
      </c>
      <c r="F24" s="102">
        <v>28</v>
      </c>
      <c r="G24" s="102">
        <v>14.393991005170408</v>
      </c>
      <c r="H24" s="76">
        <v>12</v>
      </c>
      <c r="I24" s="103">
        <f t="shared" si="0"/>
        <v>1.25</v>
      </c>
      <c r="J24" s="103">
        <f t="shared" si="1"/>
        <v>1.3888888888888888</v>
      </c>
      <c r="K24" s="103">
        <f t="shared" si="2"/>
        <v>1.168142297184299</v>
      </c>
      <c r="L24" s="65">
        <f t="shared" si="3"/>
        <v>1.1363636363636365</v>
      </c>
    </row>
    <row r="25" spans="1:12" x14ac:dyDescent="0.15">
      <c r="A25" s="68" t="s">
        <v>79</v>
      </c>
      <c r="B25" s="98" t="s">
        <v>86</v>
      </c>
      <c r="C25" s="99" t="s">
        <v>432</v>
      </c>
      <c r="D25" s="46" t="s">
        <v>244</v>
      </c>
      <c r="E25" s="102">
        <v>23</v>
      </c>
      <c r="F25" s="102">
        <v>0</v>
      </c>
      <c r="G25" s="102">
        <v>6</v>
      </c>
      <c r="H25" s="76">
        <v>30.07</v>
      </c>
      <c r="I25" s="103">
        <f t="shared" si="0"/>
        <v>1.2987012987012987</v>
      </c>
      <c r="J25" s="103">
        <f t="shared" si="1"/>
        <v>1</v>
      </c>
      <c r="K25" s="103">
        <f t="shared" si="2"/>
        <v>1.0638297872340425</v>
      </c>
      <c r="L25" s="65">
        <f t="shared" si="3"/>
        <v>1.4300014300014299</v>
      </c>
    </row>
    <row r="26" spans="1:12" x14ac:dyDescent="0.15">
      <c r="A26" s="68" t="s">
        <v>79</v>
      </c>
      <c r="B26" s="98" t="s">
        <v>87</v>
      </c>
      <c r="C26" s="99" t="s">
        <v>429</v>
      </c>
      <c r="D26" s="46" t="s">
        <v>244</v>
      </c>
      <c r="E26" s="102">
        <v>20</v>
      </c>
      <c r="F26" s="102">
        <v>30</v>
      </c>
      <c r="G26" s="102">
        <v>40.972143522062808</v>
      </c>
      <c r="H26" s="76">
        <v>12</v>
      </c>
      <c r="I26" s="173">
        <f t="shared" si="0"/>
        <v>1.25</v>
      </c>
      <c r="J26" s="103">
        <f t="shared" si="1"/>
        <v>1.4285714285714286</v>
      </c>
      <c r="K26" s="103">
        <f t="shared" si="2"/>
        <v>1.694115388340028</v>
      </c>
      <c r="L26" s="65">
        <f t="shared" si="3"/>
        <v>1.1363636363636365</v>
      </c>
    </row>
    <row r="27" spans="1:12" x14ac:dyDescent="0.15">
      <c r="A27" s="162" t="s">
        <v>384</v>
      </c>
      <c r="B27" s="152"/>
      <c r="C27" s="178"/>
      <c r="D27" s="152"/>
      <c r="E27" s="175"/>
      <c r="F27" s="175"/>
      <c r="G27" s="175"/>
      <c r="H27" s="175"/>
      <c r="I27" s="176"/>
      <c r="J27" s="176"/>
      <c r="K27" s="176"/>
      <c r="L27" s="180"/>
    </row>
    <row r="28" spans="1:12" x14ac:dyDescent="0.15">
      <c r="A28" s="68" t="s">
        <v>1224</v>
      </c>
      <c r="B28" s="98" t="s">
        <v>89</v>
      </c>
      <c r="C28" s="99" t="s">
        <v>429</v>
      </c>
      <c r="D28" s="46" t="s">
        <v>244</v>
      </c>
      <c r="E28" s="102">
        <v>20</v>
      </c>
      <c r="F28" s="102">
        <v>11</v>
      </c>
      <c r="G28" s="102">
        <v>5.1397840080096984</v>
      </c>
      <c r="H28" s="76">
        <v>3</v>
      </c>
      <c r="I28" s="103">
        <f t="shared" si="0"/>
        <v>1.25</v>
      </c>
      <c r="J28" s="103">
        <f t="shared" si="1"/>
        <v>1.1235955056179776</v>
      </c>
      <c r="K28" s="103">
        <f t="shared" si="2"/>
        <v>1.0541827145791411</v>
      </c>
      <c r="L28" s="65">
        <f t="shared" si="3"/>
        <v>1.0309278350515463</v>
      </c>
    </row>
    <row r="29" spans="1:12" x14ac:dyDescent="0.15">
      <c r="A29" s="68" t="s">
        <v>1224</v>
      </c>
      <c r="B29" s="98" t="s">
        <v>89</v>
      </c>
      <c r="C29" s="99" t="s">
        <v>431</v>
      </c>
      <c r="D29" s="46" t="s">
        <v>244</v>
      </c>
      <c r="E29" s="102">
        <v>10</v>
      </c>
      <c r="F29" s="102">
        <v>0</v>
      </c>
      <c r="G29" s="102">
        <v>6</v>
      </c>
      <c r="H29" s="76">
        <v>25</v>
      </c>
      <c r="I29" s="103">
        <f t="shared" si="0"/>
        <v>1.1111111111111112</v>
      </c>
      <c r="J29" s="103">
        <f t="shared" si="1"/>
        <v>1</v>
      </c>
      <c r="K29" s="103">
        <f t="shared" si="2"/>
        <v>1.0638297872340425</v>
      </c>
      <c r="L29" s="65">
        <f t="shared" si="3"/>
        <v>1.3333333333333333</v>
      </c>
    </row>
    <row r="30" spans="1:12" x14ac:dyDescent="0.15">
      <c r="A30" s="68" t="s">
        <v>1224</v>
      </c>
      <c r="B30" s="98" t="s">
        <v>89</v>
      </c>
      <c r="C30" s="99" t="s">
        <v>432</v>
      </c>
      <c r="D30" s="46" t="s">
        <v>244</v>
      </c>
      <c r="E30" s="102">
        <v>12</v>
      </c>
      <c r="F30" s="102">
        <v>0</v>
      </c>
      <c r="G30" s="102">
        <v>6</v>
      </c>
      <c r="H30" s="76">
        <v>45.055</v>
      </c>
      <c r="I30" s="103">
        <f t="shared" si="0"/>
        <v>1.1363636363636365</v>
      </c>
      <c r="J30" s="103">
        <f t="shared" si="1"/>
        <v>1</v>
      </c>
      <c r="K30" s="103">
        <f t="shared" si="2"/>
        <v>1.0638297872340425</v>
      </c>
      <c r="L30" s="65">
        <f t="shared" si="3"/>
        <v>1.82000182000182</v>
      </c>
    </row>
    <row r="31" spans="1:12" x14ac:dyDescent="0.15">
      <c r="A31" s="68" t="s">
        <v>1224</v>
      </c>
      <c r="B31" s="98" t="s">
        <v>90</v>
      </c>
      <c r="C31" s="99" t="s">
        <v>429</v>
      </c>
      <c r="D31" s="46" t="s">
        <v>244</v>
      </c>
      <c r="E31" s="102">
        <v>20</v>
      </c>
      <c r="F31" s="102">
        <v>30</v>
      </c>
      <c r="G31" s="102">
        <v>11.235558256067232</v>
      </c>
      <c r="H31" s="76">
        <v>10</v>
      </c>
      <c r="I31" s="103">
        <f t="shared" si="0"/>
        <v>1.25</v>
      </c>
      <c r="J31" s="103">
        <f t="shared" si="1"/>
        <v>1.4285714285714286</v>
      </c>
      <c r="K31" s="103">
        <f t="shared" si="2"/>
        <v>1.1265772423655807</v>
      </c>
      <c r="L31" s="65">
        <f t="shared" si="3"/>
        <v>1.1111111111111112</v>
      </c>
    </row>
    <row r="32" spans="1:12" x14ac:dyDescent="0.15">
      <c r="A32" s="68" t="s">
        <v>1224</v>
      </c>
      <c r="B32" s="98" t="s">
        <v>91</v>
      </c>
      <c r="C32" s="99" t="s">
        <v>429</v>
      </c>
      <c r="D32" s="46" t="s">
        <v>244</v>
      </c>
      <c r="E32" s="102">
        <v>20</v>
      </c>
      <c r="F32" s="102">
        <v>17</v>
      </c>
      <c r="G32" s="102">
        <v>12.469713580038542</v>
      </c>
      <c r="H32" s="76">
        <v>10</v>
      </c>
      <c r="I32" s="103">
        <f t="shared" si="0"/>
        <v>1.25</v>
      </c>
      <c r="J32" s="103">
        <f t="shared" si="1"/>
        <v>1.2048192771084338</v>
      </c>
      <c r="K32" s="103">
        <f t="shared" si="2"/>
        <v>1.1424617020011807</v>
      </c>
      <c r="L32" s="65">
        <f t="shared" si="3"/>
        <v>1.1111111111111112</v>
      </c>
    </row>
    <row r="33" spans="1:12" x14ac:dyDescent="0.15">
      <c r="A33" s="68" t="s">
        <v>1224</v>
      </c>
      <c r="B33" s="98" t="s">
        <v>92</v>
      </c>
      <c r="C33" s="99" t="s">
        <v>429</v>
      </c>
      <c r="D33" s="46" t="s">
        <v>244</v>
      </c>
      <c r="E33" s="102">
        <v>31</v>
      </c>
      <c r="F33" s="102">
        <v>28</v>
      </c>
      <c r="G33" s="102">
        <v>14.180436723052242</v>
      </c>
      <c r="H33" s="76">
        <v>10</v>
      </c>
      <c r="I33" s="173">
        <f t="shared" si="0"/>
        <v>1.4492753623188406</v>
      </c>
      <c r="J33" s="103">
        <f t="shared" si="1"/>
        <v>1.3888888888888888</v>
      </c>
      <c r="K33" s="103">
        <f t="shared" si="2"/>
        <v>1.1652354799020666</v>
      </c>
      <c r="L33" s="65">
        <f t="shared" si="3"/>
        <v>1.1111111111111112</v>
      </c>
    </row>
    <row r="34" spans="1:12" s="308" customFormat="1" x14ac:dyDescent="0.15">
      <c r="A34" s="68" t="s">
        <v>1224</v>
      </c>
      <c r="B34" s="315" t="s">
        <v>121</v>
      </c>
      <c r="C34" s="99" t="s">
        <v>429</v>
      </c>
      <c r="D34" s="309" t="s">
        <v>244</v>
      </c>
      <c r="E34" s="102">
        <v>20</v>
      </c>
      <c r="F34" s="102">
        <v>9</v>
      </c>
      <c r="G34" s="102">
        <v>13.182088658999209</v>
      </c>
      <c r="H34" s="76">
        <v>15</v>
      </c>
      <c r="I34" s="103">
        <f t="shared" si="0"/>
        <v>1.25</v>
      </c>
      <c r="J34" s="103">
        <f t="shared" si="1"/>
        <v>1.098901098901099</v>
      </c>
      <c r="K34" s="103">
        <f t="shared" si="2"/>
        <v>1.1518360492136581</v>
      </c>
      <c r="L34" s="65">
        <f t="shared" si="3"/>
        <v>1.1764705882352942</v>
      </c>
    </row>
    <row r="35" spans="1:12" s="308" customFormat="1" x14ac:dyDescent="0.15">
      <c r="A35" s="68" t="s">
        <v>1224</v>
      </c>
      <c r="B35" s="315" t="s">
        <v>121</v>
      </c>
      <c r="C35" s="99" t="s">
        <v>431</v>
      </c>
      <c r="D35" s="309" t="s">
        <v>244</v>
      </c>
      <c r="E35" s="102">
        <v>10</v>
      </c>
      <c r="F35" s="102">
        <v>0</v>
      </c>
      <c r="G35" s="102">
        <v>6</v>
      </c>
      <c r="H35" s="76">
        <v>59</v>
      </c>
      <c r="I35" s="173">
        <f t="shared" si="0"/>
        <v>1.1111111111111112</v>
      </c>
      <c r="J35" s="103">
        <f t="shared" si="1"/>
        <v>1</v>
      </c>
      <c r="K35" s="103">
        <f t="shared" si="2"/>
        <v>1.0638297872340425</v>
      </c>
      <c r="L35" s="65">
        <f t="shared" si="3"/>
        <v>2.4390243902439024</v>
      </c>
    </row>
    <row r="36" spans="1:12" x14ac:dyDescent="0.15">
      <c r="A36" s="162" t="s">
        <v>385</v>
      </c>
      <c r="B36" s="152"/>
      <c r="C36" s="178"/>
      <c r="D36" s="152"/>
      <c r="E36" s="175"/>
      <c r="F36" s="175"/>
      <c r="G36" s="175"/>
      <c r="H36" s="175"/>
      <c r="I36" s="176"/>
      <c r="J36" s="176"/>
      <c r="K36" s="176"/>
      <c r="L36" s="180"/>
    </row>
    <row r="37" spans="1:12" x14ac:dyDescent="0.15">
      <c r="A37" s="68" t="s">
        <v>93</v>
      </c>
      <c r="B37" s="98" t="s">
        <v>94</v>
      </c>
      <c r="C37" s="99" t="s">
        <v>517</v>
      </c>
      <c r="D37" s="46" t="s">
        <v>244</v>
      </c>
      <c r="E37" s="102">
        <v>10</v>
      </c>
      <c r="F37" s="102">
        <v>0</v>
      </c>
      <c r="G37" s="102">
        <v>6</v>
      </c>
      <c r="H37" s="76">
        <v>0</v>
      </c>
      <c r="I37" s="103">
        <f t="shared" si="0"/>
        <v>1.1111111111111112</v>
      </c>
      <c r="J37" s="103">
        <f t="shared" si="1"/>
        <v>1</v>
      </c>
      <c r="K37" s="103">
        <f t="shared" si="2"/>
        <v>1.0638297872340425</v>
      </c>
      <c r="L37" s="65">
        <f t="shared" si="3"/>
        <v>1</v>
      </c>
    </row>
    <row r="38" spans="1:12" x14ac:dyDescent="0.15">
      <c r="A38" s="166" t="s">
        <v>93</v>
      </c>
      <c r="B38" s="25" t="s">
        <v>95</v>
      </c>
      <c r="C38" s="34" t="s">
        <v>517</v>
      </c>
      <c r="D38" s="47" t="s">
        <v>244</v>
      </c>
      <c r="E38" s="45">
        <v>10</v>
      </c>
      <c r="F38" s="45">
        <v>0</v>
      </c>
      <c r="G38" s="45">
        <v>6</v>
      </c>
      <c r="H38" s="77">
        <v>0</v>
      </c>
      <c r="I38" s="105">
        <f t="shared" si="0"/>
        <v>1.1111111111111112</v>
      </c>
      <c r="J38" s="67">
        <f t="shared" si="1"/>
        <v>1</v>
      </c>
      <c r="K38" s="67">
        <f t="shared" si="2"/>
        <v>1.0638297872340425</v>
      </c>
      <c r="L38" s="66">
        <f t="shared" si="3"/>
        <v>1</v>
      </c>
    </row>
    <row r="39" spans="1:12" x14ac:dyDescent="0.15">
      <c r="A39" s="68" t="s">
        <v>97</v>
      </c>
      <c r="B39" s="98" t="s">
        <v>101</v>
      </c>
      <c r="C39" s="99" t="s">
        <v>431</v>
      </c>
      <c r="D39" s="46" t="s">
        <v>244</v>
      </c>
      <c r="E39" s="102">
        <v>10</v>
      </c>
      <c r="F39" s="102">
        <v>0</v>
      </c>
      <c r="G39" s="102">
        <v>6</v>
      </c>
      <c r="H39" s="76">
        <v>34</v>
      </c>
      <c r="I39" s="103">
        <f t="shared" si="0"/>
        <v>1.1111111111111112</v>
      </c>
      <c r="J39" s="103">
        <f t="shared" si="1"/>
        <v>1</v>
      </c>
      <c r="K39" s="103">
        <f t="shared" si="2"/>
        <v>1.0638297872340425</v>
      </c>
      <c r="L39" s="65">
        <f t="shared" si="3"/>
        <v>1.5151515151515151</v>
      </c>
    </row>
    <row r="40" spans="1:12" x14ac:dyDescent="0.15">
      <c r="A40" s="68" t="s">
        <v>97</v>
      </c>
      <c r="B40" s="98" t="s">
        <v>101</v>
      </c>
      <c r="C40" s="99" t="s">
        <v>432</v>
      </c>
      <c r="D40" s="46" t="s">
        <v>244</v>
      </c>
      <c r="E40" s="102">
        <v>17</v>
      </c>
      <c r="F40" s="102">
        <v>0</v>
      </c>
      <c r="G40" s="102">
        <v>6</v>
      </c>
      <c r="H40" s="76">
        <v>8.2569999999999997</v>
      </c>
      <c r="I40" s="103">
        <f t="shared" si="0"/>
        <v>1.2048192771084338</v>
      </c>
      <c r="J40" s="103">
        <f t="shared" si="1"/>
        <v>1</v>
      </c>
      <c r="K40" s="103">
        <f t="shared" si="2"/>
        <v>1.0638297872340425</v>
      </c>
      <c r="L40" s="65">
        <f t="shared" si="3"/>
        <v>1.0900014170018422</v>
      </c>
    </row>
    <row r="41" spans="1:12" x14ac:dyDescent="0.15">
      <c r="A41" s="68" t="s">
        <v>97</v>
      </c>
      <c r="B41" s="98" t="s">
        <v>98</v>
      </c>
      <c r="C41" s="99" t="s">
        <v>429</v>
      </c>
      <c r="D41" s="46" t="s">
        <v>244</v>
      </c>
      <c r="E41" s="102">
        <v>20</v>
      </c>
      <c r="F41" s="102">
        <v>56</v>
      </c>
      <c r="G41" s="102">
        <v>12</v>
      </c>
      <c r="H41" s="76">
        <v>8</v>
      </c>
      <c r="I41" s="103">
        <f t="shared" si="0"/>
        <v>1.25</v>
      </c>
      <c r="J41" s="103">
        <f t="shared" si="1"/>
        <v>2.2727272727272729</v>
      </c>
      <c r="K41" s="103">
        <f t="shared" si="2"/>
        <v>1.1363636363636365</v>
      </c>
      <c r="L41" s="65">
        <f t="shared" si="3"/>
        <v>1.0869565217391304</v>
      </c>
    </row>
    <row r="42" spans="1:12" x14ac:dyDescent="0.15">
      <c r="A42" s="68" t="s">
        <v>97</v>
      </c>
      <c r="B42" s="98" t="s">
        <v>98</v>
      </c>
      <c r="C42" s="99" t="s">
        <v>432</v>
      </c>
      <c r="D42" s="46" t="s">
        <v>244</v>
      </c>
      <c r="E42" s="102">
        <v>32</v>
      </c>
      <c r="F42" s="102">
        <v>0</v>
      </c>
      <c r="G42" s="102">
        <v>6</v>
      </c>
      <c r="H42" s="76">
        <v>4.7619047619047725</v>
      </c>
      <c r="I42" s="103">
        <f t="shared" si="0"/>
        <v>1.4705882352941178</v>
      </c>
      <c r="J42" s="103">
        <f t="shared" si="1"/>
        <v>1</v>
      </c>
      <c r="K42" s="103">
        <f t="shared" si="2"/>
        <v>1.0638297872340425</v>
      </c>
      <c r="L42" s="65">
        <f t="shared" si="3"/>
        <v>1.05</v>
      </c>
    </row>
    <row r="43" spans="1:12" x14ac:dyDescent="0.15">
      <c r="A43" s="68" t="s">
        <v>97</v>
      </c>
      <c r="B43" s="98" t="s">
        <v>99</v>
      </c>
      <c r="C43" s="99" t="s">
        <v>429</v>
      </c>
      <c r="D43" s="46" t="s">
        <v>244</v>
      </c>
      <c r="E43" s="102">
        <v>30</v>
      </c>
      <c r="F43" s="102">
        <v>0</v>
      </c>
      <c r="G43" s="102">
        <v>6.4991913014225098</v>
      </c>
      <c r="H43" s="76">
        <v>4</v>
      </c>
      <c r="I43" s="103">
        <f t="shared" si="0"/>
        <v>1.4285714285714286</v>
      </c>
      <c r="J43" s="103">
        <f t="shared" si="1"/>
        <v>1</v>
      </c>
      <c r="K43" s="103">
        <f t="shared" si="2"/>
        <v>1.0695094661948243</v>
      </c>
      <c r="L43" s="65">
        <f t="shared" si="3"/>
        <v>1.0416666666666667</v>
      </c>
    </row>
    <row r="44" spans="1:12" x14ac:dyDescent="0.15">
      <c r="A44" s="68" t="s">
        <v>97</v>
      </c>
      <c r="B44" s="98" t="s">
        <v>99</v>
      </c>
      <c r="C44" s="99" t="s">
        <v>431</v>
      </c>
      <c r="D44" s="46" t="s">
        <v>244</v>
      </c>
      <c r="E44" s="102">
        <v>10</v>
      </c>
      <c r="F44" s="102">
        <v>0</v>
      </c>
      <c r="G44" s="102">
        <v>6</v>
      </c>
      <c r="H44" s="76">
        <v>29</v>
      </c>
      <c r="I44" s="103">
        <f t="shared" si="0"/>
        <v>1.1111111111111112</v>
      </c>
      <c r="J44" s="103">
        <f t="shared" si="1"/>
        <v>1</v>
      </c>
      <c r="K44" s="103">
        <f t="shared" si="2"/>
        <v>1.0638297872340425</v>
      </c>
      <c r="L44" s="65">
        <f t="shared" si="3"/>
        <v>1.408450704225352</v>
      </c>
    </row>
    <row r="45" spans="1:12" x14ac:dyDescent="0.15">
      <c r="A45" s="68" t="s">
        <v>97</v>
      </c>
      <c r="B45" s="98" t="s">
        <v>99</v>
      </c>
      <c r="C45" s="99" t="s">
        <v>432</v>
      </c>
      <c r="D45" s="46" t="s">
        <v>244</v>
      </c>
      <c r="E45" s="102">
        <v>32</v>
      </c>
      <c r="F45" s="102">
        <v>0</v>
      </c>
      <c r="G45" s="102">
        <v>6</v>
      </c>
      <c r="H45" s="76">
        <v>50</v>
      </c>
      <c r="I45" s="103">
        <f t="shared" si="0"/>
        <v>1.4705882352941178</v>
      </c>
      <c r="J45" s="103">
        <f t="shared" si="1"/>
        <v>1</v>
      </c>
      <c r="K45" s="103">
        <f t="shared" si="2"/>
        <v>1.0638297872340425</v>
      </c>
      <c r="L45" s="65">
        <f t="shared" si="3"/>
        <v>2</v>
      </c>
    </row>
    <row r="46" spans="1:12" x14ac:dyDescent="0.15">
      <c r="A46" s="68" t="s">
        <v>97</v>
      </c>
      <c r="B46" s="98" t="s">
        <v>99</v>
      </c>
      <c r="C46" s="99" t="s">
        <v>518</v>
      </c>
      <c r="D46" s="46" t="s">
        <v>244</v>
      </c>
      <c r="E46" s="102">
        <v>10</v>
      </c>
      <c r="F46" s="102">
        <v>0</v>
      </c>
      <c r="G46" s="102">
        <v>6</v>
      </c>
      <c r="H46" s="76">
        <v>86</v>
      </c>
      <c r="I46" s="103">
        <f t="shared" si="0"/>
        <v>1.1111111111111112</v>
      </c>
      <c r="J46" s="103">
        <f t="shared" si="1"/>
        <v>1</v>
      </c>
      <c r="K46" s="103">
        <f t="shared" si="2"/>
        <v>1.0638297872340425</v>
      </c>
      <c r="L46" s="65">
        <f t="shared" si="3"/>
        <v>7.1428571428571432</v>
      </c>
    </row>
    <row r="47" spans="1:12" x14ac:dyDescent="0.15">
      <c r="A47" s="68" t="s">
        <v>97</v>
      </c>
      <c r="B47" s="98" t="s">
        <v>100</v>
      </c>
      <c r="C47" s="99" t="s">
        <v>429</v>
      </c>
      <c r="D47" s="46" t="s">
        <v>244</v>
      </c>
      <c r="E47" s="102">
        <v>32</v>
      </c>
      <c r="F47" s="102">
        <v>64</v>
      </c>
      <c r="G47" s="102">
        <v>0.61154332315669457</v>
      </c>
      <c r="H47" s="76">
        <v>8</v>
      </c>
      <c r="I47" s="103">
        <f t="shared" si="0"/>
        <v>1.4705882352941178</v>
      </c>
      <c r="J47" s="103">
        <f t="shared" si="1"/>
        <v>2.7777777777777777</v>
      </c>
      <c r="K47" s="103">
        <f t="shared" si="2"/>
        <v>1.0061530618706063</v>
      </c>
      <c r="L47" s="65">
        <f t="shared" si="3"/>
        <v>1.0869565217391304</v>
      </c>
    </row>
    <row r="48" spans="1:12" x14ac:dyDescent="0.15">
      <c r="A48" s="68" t="s">
        <v>97</v>
      </c>
      <c r="B48" s="98" t="s">
        <v>100</v>
      </c>
      <c r="C48" s="99" t="s">
        <v>431</v>
      </c>
      <c r="D48" s="46" t="s">
        <v>244</v>
      </c>
      <c r="E48" s="102">
        <v>10</v>
      </c>
      <c r="F48" s="102">
        <v>0</v>
      </c>
      <c r="G48" s="102">
        <v>6</v>
      </c>
      <c r="H48" s="76">
        <v>27</v>
      </c>
      <c r="I48" s="103">
        <f t="shared" si="0"/>
        <v>1.1111111111111112</v>
      </c>
      <c r="J48" s="103">
        <f t="shared" si="1"/>
        <v>1</v>
      </c>
      <c r="K48" s="103">
        <f t="shared" si="2"/>
        <v>1.0638297872340425</v>
      </c>
      <c r="L48" s="65">
        <f t="shared" si="3"/>
        <v>1.3698630136986301</v>
      </c>
    </row>
    <row r="49" spans="1:12" x14ac:dyDescent="0.15">
      <c r="A49" s="68" t="s">
        <v>97</v>
      </c>
      <c r="B49" s="98" t="s">
        <v>100</v>
      </c>
      <c r="C49" s="99" t="s">
        <v>432</v>
      </c>
      <c r="D49" s="46" t="s">
        <v>244</v>
      </c>
      <c r="E49" s="102">
        <v>14</v>
      </c>
      <c r="F49" s="102">
        <v>0</v>
      </c>
      <c r="G49" s="102">
        <v>6</v>
      </c>
      <c r="H49" s="76">
        <v>72.972999999999999</v>
      </c>
      <c r="I49" s="173">
        <f t="shared" si="0"/>
        <v>1.1627906976744187</v>
      </c>
      <c r="J49" s="103">
        <f t="shared" si="1"/>
        <v>1</v>
      </c>
      <c r="K49" s="103">
        <f t="shared" si="2"/>
        <v>1.0638297872340425</v>
      </c>
      <c r="L49" s="65">
        <f t="shared" si="3"/>
        <v>3.7000037000037</v>
      </c>
    </row>
    <row r="50" spans="1:12" x14ac:dyDescent="0.15">
      <c r="A50" s="162" t="s">
        <v>386</v>
      </c>
      <c r="B50" s="152"/>
      <c r="C50" s="178"/>
      <c r="D50" s="152"/>
      <c r="E50" s="175"/>
      <c r="F50" s="175"/>
      <c r="G50" s="175"/>
      <c r="H50" s="175"/>
      <c r="I50" s="176"/>
      <c r="J50" s="176"/>
      <c r="K50" s="176"/>
      <c r="L50" s="180"/>
    </row>
    <row r="51" spans="1:12" x14ac:dyDescent="0.15">
      <c r="A51" s="68" t="s">
        <v>102</v>
      </c>
      <c r="B51" s="98" t="s">
        <v>103</v>
      </c>
      <c r="C51" s="99" t="s">
        <v>429</v>
      </c>
      <c r="D51" s="46" t="s">
        <v>244</v>
      </c>
      <c r="E51" s="102">
        <v>20</v>
      </c>
      <c r="F51" s="102">
        <v>60</v>
      </c>
      <c r="G51" s="102">
        <v>19.3056118815094</v>
      </c>
      <c r="H51" s="76">
        <v>7</v>
      </c>
      <c r="I51" s="103">
        <f t="shared" si="0"/>
        <v>1.25</v>
      </c>
      <c r="J51" s="103">
        <f t="shared" si="1"/>
        <v>2.5</v>
      </c>
      <c r="K51" s="103">
        <f t="shared" si="2"/>
        <v>1.2392435500367298</v>
      </c>
      <c r="L51" s="65">
        <f t="shared" si="3"/>
        <v>1.075268817204301</v>
      </c>
    </row>
    <row r="52" spans="1:12" x14ac:dyDescent="0.15">
      <c r="A52" s="68" t="s">
        <v>102</v>
      </c>
      <c r="B52" s="98" t="s">
        <v>104</v>
      </c>
      <c r="C52" s="99" t="s">
        <v>429</v>
      </c>
      <c r="D52" s="46" t="s">
        <v>244</v>
      </c>
      <c r="E52" s="102">
        <v>20</v>
      </c>
      <c r="F52" s="102">
        <v>47</v>
      </c>
      <c r="G52" s="102">
        <v>9.4109954713757382</v>
      </c>
      <c r="H52" s="76">
        <v>9</v>
      </c>
      <c r="I52" s="103">
        <f t="shared" si="0"/>
        <v>1.25</v>
      </c>
      <c r="J52" s="103">
        <f t="shared" si="1"/>
        <v>1.8867924528301887</v>
      </c>
      <c r="K52" s="103">
        <f t="shared" si="2"/>
        <v>1.1038867301870181</v>
      </c>
      <c r="L52" s="65">
        <f t="shared" si="3"/>
        <v>1.098901098901099</v>
      </c>
    </row>
    <row r="53" spans="1:12" x14ac:dyDescent="0.15">
      <c r="A53" s="68" t="s">
        <v>102</v>
      </c>
      <c r="B53" s="98" t="s">
        <v>104</v>
      </c>
      <c r="C53" s="99" t="s">
        <v>431</v>
      </c>
      <c r="D53" s="46" t="s">
        <v>244</v>
      </c>
      <c r="E53" s="102">
        <v>10</v>
      </c>
      <c r="F53" s="102">
        <v>0</v>
      </c>
      <c r="G53" s="102">
        <v>6</v>
      </c>
      <c r="H53" s="76">
        <v>18</v>
      </c>
      <c r="I53" s="103">
        <f t="shared" si="0"/>
        <v>1.1111111111111112</v>
      </c>
      <c r="J53" s="103">
        <f t="shared" si="1"/>
        <v>1</v>
      </c>
      <c r="K53" s="103">
        <f t="shared" si="2"/>
        <v>1.0638297872340425</v>
      </c>
      <c r="L53" s="65">
        <f t="shared" si="3"/>
        <v>1.2195121951219512</v>
      </c>
    </row>
    <row r="54" spans="1:12" x14ac:dyDescent="0.15">
      <c r="A54" s="68" t="s">
        <v>102</v>
      </c>
      <c r="B54" s="98" t="s">
        <v>104</v>
      </c>
      <c r="C54" s="99" t="s">
        <v>432</v>
      </c>
      <c r="D54" s="46" t="s">
        <v>244</v>
      </c>
      <c r="E54" s="102">
        <v>30</v>
      </c>
      <c r="F54" s="102">
        <v>0</v>
      </c>
      <c r="G54" s="102">
        <v>6</v>
      </c>
      <c r="H54" s="76">
        <v>47.917000000000002</v>
      </c>
      <c r="I54" s="103">
        <f t="shared" si="0"/>
        <v>1.4285714285714286</v>
      </c>
      <c r="J54" s="103">
        <f t="shared" si="1"/>
        <v>1</v>
      </c>
      <c r="K54" s="103">
        <f t="shared" si="2"/>
        <v>1.0638297872340425</v>
      </c>
      <c r="L54" s="65">
        <f t="shared" si="3"/>
        <v>1.9200122880786437</v>
      </c>
    </row>
    <row r="55" spans="1:12" x14ac:dyDescent="0.15">
      <c r="A55" s="68" t="s">
        <v>102</v>
      </c>
      <c r="B55" s="98" t="s">
        <v>105</v>
      </c>
      <c r="C55" s="99" t="s">
        <v>429</v>
      </c>
      <c r="D55" s="46" t="s">
        <v>244</v>
      </c>
      <c r="E55" s="102">
        <v>20</v>
      </c>
      <c r="F55" s="102">
        <v>18</v>
      </c>
      <c r="G55" s="102">
        <v>7.7695411820476963</v>
      </c>
      <c r="H55" s="76">
        <v>8</v>
      </c>
      <c r="I55" s="103">
        <f t="shared" si="0"/>
        <v>1.25</v>
      </c>
      <c r="J55" s="103">
        <f t="shared" si="1"/>
        <v>1.2195121951219512</v>
      </c>
      <c r="K55" s="103">
        <f t="shared" si="2"/>
        <v>1.0842405131842996</v>
      </c>
      <c r="L55" s="65">
        <f t="shared" si="3"/>
        <v>1.0869565217391304</v>
      </c>
    </row>
    <row r="56" spans="1:12" x14ac:dyDescent="0.15">
      <c r="A56" s="68" t="s">
        <v>102</v>
      </c>
      <c r="B56" s="98" t="s">
        <v>106</v>
      </c>
      <c r="C56" s="99" t="s">
        <v>429</v>
      </c>
      <c r="D56" s="46" t="s">
        <v>244</v>
      </c>
      <c r="E56" s="102">
        <v>20</v>
      </c>
      <c r="F56" s="102">
        <v>10</v>
      </c>
      <c r="G56" s="102">
        <v>18.756516925932999</v>
      </c>
      <c r="H56" s="76">
        <v>8</v>
      </c>
      <c r="I56" s="103">
        <f t="shared" si="0"/>
        <v>1.25</v>
      </c>
      <c r="J56" s="103">
        <f t="shared" si="1"/>
        <v>1.1111111111111112</v>
      </c>
      <c r="K56" s="103">
        <f t="shared" si="2"/>
        <v>1.230867956619158</v>
      </c>
      <c r="L56" s="65">
        <f t="shared" si="3"/>
        <v>1.0869565217391304</v>
      </c>
    </row>
    <row r="57" spans="1:12" x14ac:dyDescent="0.15">
      <c r="A57" s="68" t="s">
        <v>102</v>
      </c>
      <c r="B57" s="98" t="s">
        <v>107</v>
      </c>
      <c r="C57" s="99" t="s">
        <v>429</v>
      </c>
      <c r="D57" s="46" t="s">
        <v>244</v>
      </c>
      <c r="E57" s="102">
        <v>20</v>
      </c>
      <c r="F57" s="102">
        <v>20</v>
      </c>
      <c r="G57" s="102">
        <v>14.075567949270274</v>
      </c>
      <c r="H57" s="76">
        <v>7</v>
      </c>
      <c r="I57" s="103">
        <f t="shared" si="0"/>
        <v>1.25</v>
      </c>
      <c r="J57" s="103">
        <f t="shared" si="1"/>
        <v>1.25</v>
      </c>
      <c r="K57" s="103">
        <f t="shared" si="2"/>
        <v>1.1638133370606405</v>
      </c>
      <c r="L57" s="65">
        <f t="shared" si="3"/>
        <v>1.075268817204301</v>
      </c>
    </row>
    <row r="58" spans="1:12" x14ac:dyDescent="0.15">
      <c r="A58" s="68" t="s">
        <v>102</v>
      </c>
      <c r="B58" s="98" t="s">
        <v>107</v>
      </c>
      <c r="C58" s="99" t="s">
        <v>431</v>
      </c>
      <c r="D58" s="46" t="s">
        <v>244</v>
      </c>
      <c r="E58" s="102">
        <v>10</v>
      </c>
      <c r="F58" s="102">
        <v>0</v>
      </c>
      <c r="G58" s="102">
        <v>6</v>
      </c>
      <c r="H58" s="76">
        <v>56</v>
      </c>
      <c r="I58" s="103">
        <f t="shared" si="0"/>
        <v>1.1111111111111112</v>
      </c>
      <c r="J58" s="103">
        <f t="shared" si="1"/>
        <v>1</v>
      </c>
      <c r="K58" s="103">
        <f t="shared" si="2"/>
        <v>1.0638297872340425</v>
      </c>
      <c r="L58" s="65">
        <f t="shared" si="3"/>
        <v>2.2727272727272729</v>
      </c>
    </row>
    <row r="59" spans="1:12" x14ac:dyDescent="0.15">
      <c r="A59" s="68" t="s">
        <v>102</v>
      </c>
      <c r="B59" s="98" t="s">
        <v>108</v>
      </c>
      <c r="C59" s="99" t="s">
        <v>429</v>
      </c>
      <c r="D59" s="46" t="s">
        <v>244</v>
      </c>
      <c r="E59" s="102">
        <v>20</v>
      </c>
      <c r="F59" s="102">
        <v>61</v>
      </c>
      <c r="G59" s="102">
        <v>14.00759012316408</v>
      </c>
      <c r="H59" s="76">
        <v>8</v>
      </c>
      <c r="I59" s="103">
        <f t="shared" si="0"/>
        <v>1.25</v>
      </c>
      <c r="J59" s="103">
        <f t="shared" si="1"/>
        <v>2.5641025641025643</v>
      </c>
      <c r="K59" s="103">
        <f t="shared" si="2"/>
        <v>1.1628933314373522</v>
      </c>
      <c r="L59" s="65">
        <f t="shared" si="3"/>
        <v>1.0869565217391304</v>
      </c>
    </row>
    <row r="60" spans="1:12" x14ac:dyDescent="0.15">
      <c r="A60" s="68" t="s">
        <v>102</v>
      </c>
      <c r="B60" s="98" t="s">
        <v>108</v>
      </c>
      <c r="C60" s="99" t="s">
        <v>432</v>
      </c>
      <c r="D60" s="46" t="s">
        <v>244</v>
      </c>
      <c r="E60" s="102">
        <v>17</v>
      </c>
      <c r="F60" s="102">
        <v>0</v>
      </c>
      <c r="G60" s="102">
        <v>6</v>
      </c>
      <c r="H60" s="76">
        <v>30.067</v>
      </c>
      <c r="I60" s="103">
        <f t="shared" si="0"/>
        <v>1.2048192771084338</v>
      </c>
      <c r="J60" s="103">
        <f t="shared" si="1"/>
        <v>1</v>
      </c>
      <c r="K60" s="103">
        <f t="shared" si="2"/>
        <v>1.0638297872340425</v>
      </c>
      <c r="L60" s="65">
        <f t="shared" si="3"/>
        <v>1.4299400855104172</v>
      </c>
    </row>
    <row r="61" spans="1:12" x14ac:dyDescent="0.15">
      <c r="A61" s="68" t="s">
        <v>102</v>
      </c>
      <c r="B61" s="98" t="s">
        <v>109</v>
      </c>
      <c r="C61" s="99" t="s">
        <v>429</v>
      </c>
      <c r="D61" s="46" t="s">
        <v>244</v>
      </c>
      <c r="E61" s="102">
        <v>20</v>
      </c>
      <c r="F61" s="102">
        <v>11</v>
      </c>
      <c r="G61" s="102">
        <v>5.1030237747599116</v>
      </c>
      <c r="H61" s="76">
        <v>7</v>
      </c>
      <c r="I61" s="103">
        <f t="shared" si="0"/>
        <v>1.25</v>
      </c>
      <c r="J61" s="103">
        <f t="shared" si="1"/>
        <v>1.1235955056179776</v>
      </c>
      <c r="K61" s="103">
        <f t="shared" si="2"/>
        <v>1.0537743559146477</v>
      </c>
      <c r="L61" s="65">
        <f t="shared" si="3"/>
        <v>1.075268817204301</v>
      </c>
    </row>
    <row r="62" spans="1:12" x14ac:dyDescent="0.15">
      <c r="A62" s="68" t="s">
        <v>102</v>
      </c>
      <c r="B62" s="98" t="s">
        <v>110</v>
      </c>
      <c r="C62" s="99" t="s">
        <v>431</v>
      </c>
      <c r="D62" s="46" t="s">
        <v>244</v>
      </c>
      <c r="E62" s="102">
        <v>10</v>
      </c>
      <c r="F62" s="102">
        <v>0</v>
      </c>
      <c r="G62" s="102">
        <v>6</v>
      </c>
      <c r="H62" s="76">
        <v>27</v>
      </c>
      <c r="I62" s="103">
        <f t="shared" si="0"/>
        <v>1.1111111111111112</v>
      </c>
      <c r="J62" s="103">
        <f t="shared" si="1"/>
        <v>1</v>
      </c>
      <c r="K62" s="103">
        <f t="shared" si="2"/>
        <v>1.0638297872340425</v>
      </c>
      <c r="L62" s="65">
        <f t="shared" si="3"/>
        <v>1.3698630136986301</v>
      </c>
    </row>
    <row r="63" spans="1:12" x14ac:dyDescent="0.15">
      <c r="A63" s="68" t="s">
        <v>102</v>
      </c>
      <c r="B63" s="98" t="s">
        <v>111</v>
      </c>
      <c r="C63" s="99" t="s">
        <v>429</v>
      </c>
      <c r="D63" s="46" t="s">
        <v>244</v>
      </c>
      <c r="E63" s="102">
        <v>20</v>
      </c>
      <c r="F63" s="102">
        <v>27</v>
      </c>
      <c r="G63" s="102">
        <v>6.1301197779286234</v>
      </c>
      <c r="H63" s="76">
        <v>8</v>
      </c>
      <c r="I63" s="103">
        <f t="shared" si="0"/>
        <v>1.25</v>
      </c>
      <c r="J63" s="103">
        <f t="shared" si="1"/>
        <v>1.3698630136986301</v>
      </c>
      <c r="K63" s="103">
        <f t="shared" si="2"/>
        <v>1.0653044380521886</v>
      </c>
      <c r="L63" s="65">
        <f t="shared" si="3"/>
        <v>1.0869565217391304</v>
      </c>
    </row>
    <row r="64" spans="1:12" x14ac:dyDescent="0.15">
      <c r="A64" s="68" t="s">
        <v>102</v>
      </c>
      <c r="B64" s="98" t="s">
        <v>111</v>
      </c>
      <c r="C64" s="99" t="s">
        <v>431</v>
      </c>
      <c r="D64" s="46" t="s">
        <v>244</v>
      </c>
      <c r="E64" s="102">
        <v>10</v>
      </c>
      <c r="F64" s="102">
        <v>0</v>
      </c>
      <c r="G64" s="102">
        <v>6</v>
      </c>
      <c r="H64" s="76">
        <v>60</v>
      </c>
      <c r="I64" s="103">
        <f t="shared" si="0"/>
        <v>1.1111111111111112</v>
      </c>
      <c r="J64" s="103">
        <f t="shared" si="1"/>
        <v>1</v>
      </c>
      <c r="K64" s="103">
        <f t="shared" si="2"/>
        <v>1.0638297872340425</v>
      </c>
      <c r="L64" s="65">
        <f t="shared" si="3"/>
        <v>2.5</v>
      </c>
    </row>
    <row r="65" spans="1:12" x14ac:dyDescent="0.15">
      <c r="A65" s="68" t="s">
        <v>102</v>
      </c>
      <c r="B65" s="98" t="s">
        <v>112</v>
      </c>
      <c r="C65" s="99" t="s">
        <v>429</v>
      </c>
      <c r="D65" s="46" t="s">
        <v>244</v>
      </c>
      <c r="E65" s="102">
        <v>27</v>
      </c>
      <c r="F65" s="102">
        <v>19</v>
      </c>
      <c r="G65" s="102">
        <v>21.32762029927196</v>
      </c>
      <c r="H65" s="76">
        <v>10</v>
      </c>
      <c r="I65" s="103">
        <f t="shared" si="0"/>
        <v>1.3698630136986301</v>
      </c>
      <c r="J65" s="103">
        <f t="shared" si="1"/>
        <v>1.2345679012345678</v>
      </c>
      <c r="K65" s="103">
        <f t="shared" si="2"/>
        <v>1.2710941296094362</v>
      </c>
      <c r="L65" s="65">
        <f t="shared" si="3"/>
        <v>1.1111111111111112</v>
      </c>
    </row>
    <row r="66" spans="1:12" x14ac:dyDescent="0.15">
      <c r="A66" s="68" t="s">
        <v>102</v>
      </c>
      <c r="B66" s="98" t="s">
        <v>113</v>
      </c>
      <c r="C66" s="99" t="s">
        <v>429</v>
      </c>
      <c r="D66" s="46" t="s">
        <v>244</v>
      </c>
      <c r="E66" s="102">
        <v>20</v>
      </c>
      <c r="F66" s="102">
        <v>13</v>
      </c>
      <c r="G66" s="102">
        <v>7.4225844152436817</v>
      </c>
      <c r="H66" s="76">
        <v>19</v>
      </c>
      <c r="I66" s="103">
        <f t="shared" si="0"/>
        <v>1.25</v>
      </c>
      <c r="J66" s="103">
        <f t="shared" si="1"/>
        <v>1.1494252873563218</v>
      </c>
      <c r="K66" s="103">
        <f t="shared" si="2"/>
        <v>1.0801770536405628</v>
      </c>
      <c r="L66" s="65">
        <f t="shared" si="3"/>
        <v>1.2345679012345678</v>
      </c>
    </row>
    <row r="67" spans="1:12" x14ac:dyDescent="0.15">
      <c r="A67" s="68" t="s">
        <v>102</v>
      </c>
      <c r="B67" s="98" t="s">
        <v>114</v>
      </c>
      <c r="C67" s="99" t="s">
        <v>429</v>
      </c>
      <c r="D67" s="46" t="s">
        <v>244</v>
      </c>
      <c r="E67" s="102">
        <v>20</v>
      </c>
      <c r="F67" s="102">
        <v>16</v>
      </c>
      <c r="G67" s="102">
        <v>8.7262041451693797</v>
      </c>
      <c r="H67" s="76">
        <v>7</v>
      </c>
      <c r="I67" s="103">
        <f t="shared" si="0"/>
        <v>1.25</v>
      </c>
      <c r="J67" s="103">
        <f t="shared" si="1"/>
        <v>1.1904761904761905</v>
      </c>
      <c r="K67" s="103">
        <f t="shared" si="2"/>
        <v>1.0956047030086078</v>
      </c>
      <c r="L67" s="65">
        <f t="shared" si="3"/>
        <v>1.075268817204301</v>
      </c>
    </row>
    <row r="68" spans="1:12" x14ac:dyDescent="0.15">
      <c r="A68" s="68" t="s">
        <v>102</v>
      </c>
      <c r="B68" s="98" t="s">
        <v>115</v>
      </c>
      <c r="C68" s="99" t="s">
        <v>429</v>
      </c>
      <c r="D68" s="46" t="s">
        <v>244</v>
      </c>
      <c r="E68" s="102">
        <v>20</v>
      </c>
      <c r="F68" s="102">
        <v>3</v>
      </c>
      <c r="G68" s="102">
        <v>12.699579279497385</v>
      </c>
      <c r="H68" s="76">
        <v>6</v>
      </c>
      <c r="I68" s="103">
        <f t="shared" si="0"/>
        <v>1.25</v>
      </c>
      <c r="J68" s="103">
        <f t="shared" si="1"/>
        <v>1.0309278350515463</v>
      </c>
      <c r="K68" s="103">
        <f t="shared" si="2"/>
        <v>1.1454698519742055</v>
      </c>
      <c r="L68" s="65">
        <f t="shared" si="3"/>
        <v>1.0638297872340425</v>
      </c>
    </row>
    <row r="69" spans="1:12" x14ac:dyDescent="0.15">
      <c r="A69" s="68" t="s">
        <v>102</v>
      </c>
      <c r="B69" s="98" t="s">
        <v>115</v>
      </c>
      <c r="C69" s="99" t="s">
        <v>431</v>
      </c>
      <c r="D69" s="46" t="s">
        <v>244</v>
      </c>
      <c r="E69" s="102">
        <v>10</v>
      </c>
      <c r="F69" s="102">
        <v>0</v>
      </c>
      <c r="G69" s="102">
        <v>6</v>
      </c>
      <c r="H69" s="76">
        <v>35</v>
      </c>
      <c r="I69" s="103">
        <f t="shared" si="0"/>
        <v>1.1111111111111112</v>
      </c>
      <c r="J69" s="103">
        <f t="shared" si="1"/>
        <v>1</v>
      </c>
      <c r="K69" s="103">
        <f t="shared" si="2"/>
        <v>1.0638297872340425</v>
      </c>
      <c r="L69" s="65">
        <f t="shared" si="3"/>
        <v>1.5384615384615385</v>
      </c>
    </row>
    <row r="70" spans="1:12" x14ac:dyDescent="0.15">
      <c r="A70" s="68" t="s">
        <v>102</v>
      </c>
      <c r="B70" s="98" t="s">
        <v>116</v>
      </c>
      <c r="C70" s="99" t="s">
        <v>429</v>
      </c>
      <c r="D70" s="46" t="s">
        <v>244</v>
      </c>
      <c r="E70" s="102">
        <v>20</v>
      </c>
      <c r="F70" s="102">
        <v>14</v>
      </c>
      <c r="G70" s="102">
        <v>24.418044091214931</v>
      </c>
      <c r="H70" s="76">
        <v>12</v>
      </c>
      <c r="I70" s="103">
        <f t="shared" si="0"/>
        <v>1.25</v>
      </c>
      <c r="J70" s="103">
        <f t="shared" si="1"/>
        <v>1.1627906976744187</v>
      </c>
      <c r="K70" s="103">
        <f t="shared" si="2"/>
        <v>1.3230671103653826</v>
      </c>
      <c r="L70" s="65">
        <f t="shared" si="3"/>
        <v>1.1363636363636365</v>
      </c>
    </row>
    <row r="71" spans="1:12" x14ac:dyDescent="0.15">
      <c r="A71" s="68" t="s">
        <v>102</v>
      </c>
      <c r="B71" s="98" t="s">
        <v>117</v>
      </c>
      <c r="C71" s="99" t="s">
        <v>429</v>
      </c>
      <c r="D71" s="46" t="s">
        <v>244</v>
      </c>
      <c r="E71" s="102">
        <v>35</v>
      </c>
      <c r="F71" s="102">
        <v>10</v>
      </c>
      <c r="G71" s="102">
        <v>9.7567809666361711</v>
      </c>
      <c r="H71" s="76">
        <v>6</v>
      </c>
      <c r="I71" s="103">
        <f t="shared" si="0"/>
        <v>1.5384615384615385</v>
      </c>
      <c r="J71" s="103">
        <f t="shared" si="1"/>
        <v>1.1111111111111112</v>
      </c>
      <c r="K71" s="103">
        <f t="shared" si="2"/>
        <v>1.1081164997342237</v>
      </c>
      <c r="L71" s="65">
        <f t="shared" si="3"/>
        <v>1.0638297872340425</v>
      </c>
    </row>
    <row r="72" spans="1:12" x14ac:dyDescent="0.15">
      <c r="A72" s="68" t="s">
        <v>102</v>
      </c>
      <c r="B72" s="98" t="s">
        <v>117</v>
      </c>
      <c r="C72" s="99" t="s">
        <v>519</v>
      </c>
      <c r="D72" s="46" t="s">
        <v>244</v>
      </c>
      <c r="E72" s="102">
        <v>10</v>
      </c>
      <c r="F72" s="102">
        <v>0</v>
      </c>
      <c r="G72" s="102">
        <v>6</v>
      </c>
      <c r="H72" s="76">
        <v>89</v>
      </c>
      <c r="I72" s="103">
        <f t="shared" si="0"/>
        <v>1.1111111111111112</v>
      </c>
      <c r="J72" s="103">
        <f t="shared" si="1"/>
        <v>1</v>
      </c>
      <c r="K72" s="103">
        <f t="shared" si="2"/>
        <v>1.0638297872340425</v>
      </c>
      <c r="L72" s="65">
        <f t="shared" si="3"/>
        <v>9.0909090909090917</v>
      </c>
    </row>
    <row r="73" spans="1:12" x14ac:dyDescent="0.15">
      <c r="A73" s="68" t="s">
        <v>102</v>
      </c>
      <c r="B73" s="98" t="s">
        <v>118</v>
      </c>
      <c r="C73" s="99" t="s">
        <v>429</v>
      </c>
      <c r="D73" s="46" t="s">
        <v>244</v>
      </c>
      <c r="E73" s="102">
        <v>20</v>
      </c>
      <c r="F73" s="102">
        <v>10</v>
      </c>
      <c r="G73" s="102">
        <v>21.021318277658899</v>
      </c>
      <c r="H73" s="76">
        <v>3</v>
      </c>
      <c r="I73" s="103">
        <f t="shared" si="0"/>
        <v>1.25</v>
      </c>
      <c r="J73" s="103">
        <f t="shared" si="1"/>
        <v>1.1111111111111112</v>
      </c>
      <c r="K73" s="103">
        <f t="shared" si="2"/>
        <v>1.2661644613360583</v>
      </c>
      <c r="L73" s="65">
        <f t="shared" si="3"/>
        <v>1.0309278350515463</v>
      </c>
    </row>
    <row r="74" spans="1:12" x14ac:dyDescent="0.15">
      <c r="A74" s="68" t="s">
        <v>102</v>
      </c>
      <c r="B74" s="98" t="s">
        <v>119</v>
      </c>
      <c r="C74" s="99" t="s">
        <v>429</v>
      </c>
      <c r="D74" s="46" t="s">
        <v>244</v>
      </c>
      <c r="E74" s="102">
        <v>22</v>
      </c>
      <c r="F74" s="102">
        <v>12</v>
      </c>
      <c r="G74" s="102">
        <v>18.562325077739558</v>
      </c>
      <c r="H74" s="76">
        <v>6</v>
      </c>
      <c r="I74" s="103">
        <f t="shared" si="0"/>
        <v>1.2820512820512822</v>
      </c>
      <c r="J74" s="103">
        <f t="shared" si="1"/>
        <v>1.1363636363636365</v>
      </c>
      <c r="K74" s="103">
        <f t="shared" si="2"/>
        <v>1.2279328958674098</v>
      </c>
      <c r="L74" s="65">
        <f t="shared" si="3"/>
        <v>1.0638297872340425</v>
      </c>
    </row>
    <row r="75" spans="1:12" x14ac:dyDescent="0.15">
      <c r="A75" s="68" t="s">
        <v>102</v>
      </c>
      <c r="B75" s="98" t="s">
        <v>119</v>
      </c>
      <c r="C75" s="99" t="s">
        <v>431</v>
      </c>
      <c r="D75" s="46" t="s">
        <v>244</v>
      </c>
      <c r="E75" s="102">
        <v>10</v>
      </c>
      <c r="F75" s="102">
        <v>0</v>
      </c>
      <c r="G75" s="102">
        <v>6</v>
      </c>
      <c r="H75" s="76">
        <v>40</v>
      </c>
      <c r="I75" s="103">
        <f t="shared" si="0"/>
        <v>1.1111111111111112</v>
      </c>
      <c r="J75" s="103">
        <f t="shared" si="1"/>
        <v>1</v>
      </c>
      <c r="K75" s="103">
        <f t="shared" si="2"/>
        <v>1.0638297872340425</v>
      </c>
      <c r="L75" s="65">
        <f t="shared" si="3"/>
        <v>1.6666666666666667</v>
      </c>
    </row>
    <row r="76" spans="1:12" x14ac:dyDescent="0.15">
      <c r="A76" s="68" t="s">
        <v>102</v>
      </c>
      <c r="B76" s="98" t="s">
        <v>119</v>
      </c>
      <c r="C76" s="99" t="s">
        <v>432</v>
      </c>
      <c r="D76" s="46" t="s">
        <v>244</v>
      </c>
      <c r="E76" s="102">
        <v>20</v>
      </c>
      <c r="F76" s="102">
        <v>0</v>
      </c>
      <c r="G76" s="102">
        <v>6</v>
      </c>
      <c r="H76" s="76">
        <v>15.254</v>
      </c>
      <c r="I76" s="103">
        <f t="shared" si="0"/>
        <v>1.25</v>
      </c>
      <c r="J76" s="103">
        <f t="shared" si="1"/>
        <v>1</v>
      </c>
      <c r="K76" s="103">
        <f t="shared" si="2"/>
        <v>1.0638297872340425</v>
      </c>
      <c r="L76" s="65">
        <f t="shared" si="3"/>
        <v>1.1799966960092512</v>
      </c>
    </row>
    <row r="77" spans="1:12" x14ac:dyDescent="0.15">
      <c r="A77" s="68" t="s">
        <v>102</v>
      </c>
      <c r="B77" s="98" t="s">
        <v>120</v>
      </c>
      <c r="C77" s="99" t="s">
        <v>429</v>
      </c>
      <c r="D77" s="46" t="s">
        <v>244</v>
      </c>
      <c r="E77" s="102">
        <v>20</v>
      </c>
      <c r="F77" s="102">
        <v>17</v>
      </c>
      <c r="G77" s="102">
        <v>12.469713580038542</v>
      </c>
      <c r="H77" s="76">
        <v>10</v>
      </c>
      <c r="I77" s="103">
        <f t="shared" si="0"/>
        <v>1.25</v>
      </c>
      <c r="J77" s="103">
        <f t="shared" si="1"/>
        <v>1.2048192771084338</v>
      </c>
      <c r="K77" s="103">
        <f t="shared" si="2"/>
        <v>1.1424617020011807</v>
      </c>
      <c r="L77" s="65">
        <f t="shared" si="3"/>
        <v>1.1111111111111112</v>
      </c>
    </row>
    <row r="78" spans="1:12" x14ac:dyDescent="0.15">
      <c r="A78" s="162" t="s">
        <v>387</v>
      </c>
      <c r="B78" s="152"/>
      <c r="C78" s="178"/>
      <c r="D78" s="152"/>
      <c r="E78" s="175"/>
      <c r="F78" s="175"/>
      <c r="G78" s="175"/>
      <c r="H78" s="175"/>
      <c r="I78" s="176"/>
      <c r="J78" s="176"/>
      <c r="K78" s="176"/>
      <c r="L78" s="180"/>
    </row>
    <row r="79" spans="1:12" x14ac:dyDescent="0.15">
      <c r="A79" s="68" t="s">
        <v>123</v>
      </c>
      <c r="B79" s="98" t="s">
        <v>124</v>
      </c>
      <c r="C79" s="99" t="s">
        <v>429</v>
      </c>
      <c r="D79" s="46" t="s">
        <v>245</v>
      </c>
      <c r="E79" s="102">
        <v>20</v>
      </c>
      <c r="F79" s="102">
        <v>27</v>
      </c>
      <c r="G79" s="102">
        <v>11.569651802974827</v>
      </c>
      <c r="H79" s="76">
        <v>3</v>
      </c>
      <c r="I79" s="103">
        <f t="shared" ref="I79:I142" si="4">(100/(100-E79))</f>
        <v>1.25</v>
      </c>
      <c r="J79" s="103">
        <f t="shared" ref="J79:J142" si="5">(100/(100-F79))</f>
        <v>1.3698630136986301</v>
      </c>
      <c r="K79" s="103">
        <f t="shared" ref="K79:K142" si="6">(100/(100-G79))</f>
        <v>1.1308334982148587</v>
      </c>
      <c r="L79" s="65">
        <f t="shared" ref="L79:L142" si="7">(100/(100-H79))</f>
        <v>1.0309278350515463</v>
      </c>
    </row>
    <row r="80" spans="1:12" x14ac:dyDescent="0.15">
      <c r="A80" s="68" t="s">
        <v>123</v>
      </c>
      <c r="B80" s="98" t="s">
        <v>124</v>
      </c>
      <c r="C80" s="99" t="s">
        <v>554</v>
      </c>
      <c r="D80" s="46" t="s">
        <v>245</v>
      </c>
      <c r="E80" s="102">
        <v>10</v>
      </c>
      <c r="F80" s="102">
        <v>0</v>
      </c>
      <c r="G80" s="102">
        <v>6</v>
      </c>
      <c r="H80" s="76">
        <v>35.132717746892027</v>
      </c>
      <c r="I80" s="103">
        <f t="shared" si="4"/>
        <v>1.1111111111111112</v>
      </c>
      <c r="J80" s="103">
        <f t="shared" si="5"/>
        <v>1</v>
      </c>
      <c r="K80" s="103">
        <f t="shared" si="6"/>
        <v>1.0638297872340425</v>
      </c>
      <c r="L80" s="65">
        <f t="shared" si="7"/>
        <v>1.5416092138685018</v>
      </c>
    </row>
    <row r="81" spans="1:12" x14ac:dyDescent="0.15">
      <c r="A81" s="68" t="s">
        <v>123</v>
      </c>
      <c r="B81" s="98" t="s">
        <v>125</v>
      </c>
      <c r="C81" s="99" t="s">
        <v>429</v>
      </c>
      <c r="D81" s="46" t="s">
        <v>245</v>
      </c>
      <c r="E81" s="102">
        <v>20</v>
      </c>
      <c r="F81" s="102">
        <v>50</v>
      </c>
      <c r="G81" s="102">
        <v>12.836730422519544</v>
      </c>
      <c r="H81" s="76">
        <v>3</v>
      </c>
      <c r="I81" s="103">
        <f t="shared" si="4"/>
        <v>1.25</v>
      </c>
      <c r="J81" s="103">
        <f t="shared" si="5"/>
        <v>2</v>
      </c>
      <c r="K81" s="103">
        <f t="shared" si="6"/>
        <v>1.1472722453476669</v>
      </c>
      <c r="L81" s="65">
        <f t="shared" si="7"/>
        <v>1.0309278350515463</v>
      </c>
    </row>
    <row r="82" spans="1:12" x14ac:dyDescent="0.15">
      <c r="A82" s="68" t="s">
        <v>123</v>
      </c>
      <c r="B82" s="98" t="s">
        <v>125</v>
      </c>
      <c r="C82" s="99" t="s">
        <v>554</v>
      </c>
      <c r="D82" s="46" t="s">
        <v>245</v>
      </c>
      <c r="E82" s="102">
        <v>10</v>
      </c>
      <c r="F82" s="102">
        <v>0</v>
      </c>
      <c r="G82" s="102">
        <v>6</v>
      </c>
      <c r="H82" s="76">
        <v>29.001499403467708</v>
      </c>
      <c r="I82" s="103">
        <f t="shared" si="4"/>
        <v>1.1111111111111112</v>
      </c>
      <c r="J82" s="103">
        <f t="shared" si="5"/>
        <v>1</v>
      </c>
      <c r="K82" s="103">
        <f t="shared" si="6"/>
        <v>1.0638297872340425</v>
      </c>
      <c r="L82" s="65">
        <f t="shared" si="7"/>
        <v>1.4084804490206966</v>
      </c>
    </row>
    <row r="83" spans="1:12" x14ac:dyDescent="0.15">
      <c r="A83" s="68" t="s">
        <v>123</v>
      </c>
      <c r="B83" s="98" t="s">
        <v>126</v>
      </c>
      <c r="C83" s="99" t="s">
        <v>429</v>
      </c>
      <c r="D83" s="46" t="s">
        <v>245</v>
      </c>
      <c r="E83" s="102">
        <v>20</v>
      </c>
      <c r="F83" s="102">
        <v>47</v>
      </c>
      <c r="G83" s="102">
        <v>6.9630651551219875</v>
      </c>
      <c r="H83" s="76">
        <v>4</v>
      </c>
      <c r="I83" s="103">
        <f t="shared" si="4"/>
        <v>1.25</v>
      </c>
      <c r="J83" s="103">
        <f t="shared" si="5"/>
        <v>1.8867924528301887</v>
      </c>
      <c r="K83" s="103">
        <f t="shared" si="6"/>
        <v>1.0748419449408089</v>
      </c>
      <c r="L83" s="65">
        <f t="shared" si="7"/>
        <v>1.0416666666666667</v>
      </c>
    </row>
    <row r="84" spans="1:12" x14ac:dyDescent="0.15">
      <c r="A84" s="68" t="s">
        <v>123</v>
      </c>
      <c r="B84" s="98" t="s">
        <v>126</v>
      </c>
      <c r="C84" s="99" t="s">
        <v>554</v>
      </c>
      <c r="D84" s="46" t="s">
        <v>245</v>
      </c>
      <c r="E84" s="102">
        <v>10</v>
      </c>
      <c r="F84" s="102">
        <v>0</v>
      </c>
      <c r="G84" s="102">
        <v>6</v>
      </c>
      <c r="H84" s="76">
        <v>66.34615384615384</v>
      </c>
      <c r="I84" s="103">
        <f t="shared" si="4"/>
        <v>1.1111111111111112</v>
      </c>
      <c r="J84" s="103">
        <f t="shared" si="5"/>
        <v>1</v>
      </c>
      <c r="K84" s="103">
        <f t="shared" si="6"/>
        <v>1.0638297872340425</v>
      </c>
      <c r="L84" s="65">
        <f t="shared" si="7"/>
        <v>2.9714285714285706</v>
      </c>
    </row>
    <row r="85" spans="1:12" x14ac:dyDescent="0.15">
      <c r="A85" s="68" t="s">
        <v>123</v>
      </c>
      <c r="B85" s="98" t="s">
        <v>127</v>
      </c>
      <c r="C85" s="99" t="s">
        <v>429</v>
      </c>
      <c r="D85" s="46" t="s">
        <v>245</v>
      </c>
      <c r="E85" s="102">
        <v>20</v>
      </c>
      <c r="F85" s="102">
        <v>16</v>
      </c>
      <c r="G85" s="102">
        <v>8.3174627450500633</v>
      </c>
      <c r="H85" s="76">
        <v>5</v>
      </c>
      <c r="I85" s="103">
        <f t="shared" si="4"/>
        <v>1.25</v>
      </c>
      <c r="J85" s="103">
        <f t="shared" si="5"/>
        <v>1.1904761904761905</v>
      </c>
      <c r="K85" s="103">
        <f t="shared" si="6"/>
        <v>1.0907202504869706</v>
      </c>
      <c r="L85" s="65">
        <f t="shared" si="7"/>
        <v>1.0526315789473684</v>
      </c>
    </row>
    <row r="86" spans="1:12" x14ac:dyDescent="0.15">
      <c r="A86" s="68" t="s">
        <v>123</v>
      </c>
      <c r="B86" s="98" t="s">
        <v>127</v>
      </c>
      <c r="C86" s="99" t="s">
        <v>554</v>
      </c>
      <c r="D86" s="46" t="s">
        <v>245</v>
      </c>
      <c r="E86" s="102">
        <v>10</v>
      </c>
      <c r="F86" s="102">
        <v>0</v>
      </c>
      <c r="G86" s="102">
        <v>6</v>
      </c>
      <c r="H86" s="76">
        <v>66.75</v>
      </c>
      <c r="I86" s="103">
        <f t="shared" si="4"/>
        <v>1.1111111111111112</v>
      </c>
      <c r="J86" s="103">
        <f t="shared" si="5"/>
        <v>1</v>
      </c>
      <c r="K86" s="103">
        <f t="shared" si="6"/>
        <v>1.0638297872340425</v>
      </c>
      <c r="L86" s="65">
        <f t="shared" si="7"/>
        <v>3.007518796992481</v>
      </c>
    </row>
    <row r="87" spans="1:12" x14ac:dyDescent="0.15">
      <c r="A87" s="68" t="s">
        <v>123</v>
      </c>
      <c r="B87" s="98" t="s">
        <v>128</v>
      </c>
      <c r="C87" s="99" t="s">
        <v>429</v>
      </c>
      <c r="D87" s="46" t="s">
        <v>245</v>
      </c>
      <c r="E87" s="102">
        <v>20</v>
      </c>
      <c r="F87" s="102">
        <v>26</v>
      </c>
      <c r="G87" s="102">
        <v>20.437688512800264</v>
      </c>
      <c r="H87" s="76">
        <v>5</v>
      </c>
      <c r="I87" s="103">
        <f t="shared" si="4"/>
        <v>1.25</v>
      </c>
      <c r="J87" s="103">
        <f t="shared" si="5"/>
        <v>1.3513513513513513</v>
      </c>
      <c r="K87" s="103">
        <f t="shared" si="6"/>
        <v>1.2568765051036552</v>
      </c>
      <c r="L87" s="65">
        <f t="shared" si="7"/>
        <v>1.0526315789473684</v>
      </c>
    </row>
    <row r="88" spans="1:12" x14ac:dyDescent="0.15">
      <c r="A88" s="167" t="s">
        <v>388</v>
      </c>
      <c r="B88" s="154"/>
      <c r="C88" s="177"/>
      <c r="D88" s="154"/>
      <c r="E88" s="169"/>
      <c r="F88" s="169"/>
      <c r="G88" s="169"/>
      <c r="H88" s="170"/>
      <c r="I88" s="171"/>
      <c r="J88" s="171"/>
      <c r="K88" s="171"/>
      <c r="L88" s="172"/>
    </row>
    <row r="89" spans="1:12" x14ac:dyDescent="0.15">
      <c r="A89" s="68" t="s">
        <v>129</v>
      </c>
      <c r="B89" s="98" t="s">
        <v>130</v>
      </c>
      <c r="C89" s="99" t="s">
        <v>429</v>
      </c>
      <c r="D89" s="46" t="s">
        <v>245</v>
      </c>
      <c r="E89" s="102">
        <v>20</v>
      </c>
      <c r="F89" s="102">
        <v>10</v>
      </c>
      <c r="G89" s="102">
        <v>8.6199812327545153</v>
      </c>
      <c r="H89" s="76">
        <v>4</v>
      </c>
      <c r="I89" s="103">
        <f t="shared" si="4"/>
        <v>1.25</v>
      </c>
      <c r="J89" s="103">
        <f t="shared" si="5"/>
        <v>1.1111111111111112</v>
      </c>
      <c r="K89" s="103">
        <f t="shared" si="6"/>
        <v>1.0943311387876873</v>
      </c>
      <c r="L89" s="65">
        <f t="shared" si="7"/>
        <v>1.0416666666666667</v>
      </c>
    </row>
    <row r="90" spans="1:12" x14ac:dyDescent="0.15">
      <c r="A90" s="68" t="s">
        <v>129</v>
      </c>
      <c r="B90" s="98" t="s">
        <v>131</v>
      </c>
      <c r="C90" s="99" t="s">
        <v>431</v>
      </c>
      <c r="D90" s="46" t="s">
        <v>245</v>
      </c>
      <c r="E90" s="102">
        <v>10</v>
      </c>
      <c r="F90" s="102">
        <v>0</v>
      </c>
      <c r="G90" s="102">
        <v>6</v>
      </c>
      <c r="H90" s="76">
        <v>19.999999999999996</v>
      </c>
      <c r="I90" s="103">
        <f t="shared" si="4"/>
        <v>1.1111111111111112</v>
      </c>
      <c r="J90" s="103">
        <f t="shared" si="5"/>
        <v>1</v>
      </c>
      <c r="K90" s="103">
        <f t="shared" si="6"/>
        <v>1.0638297872340425</v>
      </c>
      <c r="L90" s="65">
        <f t="shared" si="7"/>
        <v>1.25</v>
      </c>
    </row>
    <row r="91" spans="1:12" x14ac:dyDescent="0.15">
      <c r="A91" s="68" t="s">
        <v>129</v>
      </c>
      <c r="B91" s="98" t="s">
        <v>130</v>
      </c>
      <c r="C91" s="99" t="s">
        <v>432</v>
      </c>
      <c r="D91" s="46" t="s">
        <v>245</v>
      </c>
      <c r="E91" s="102">
        <v>10</v>
      </c>
      <c r="F91" s="102">
        <v>0</v>
      </c>
      <c r="G91" s="102">
        <v>6</v>
      </c>
      <c r="H91" s="76">
        <v>40.119760479041908</v>
      </c>
      <c r="I91" s="103">
        <f t="shared" si="4"/>
        <v>1.1111111111111112</v>
      </c>
      <c r="J91" s="103">
        <f t="shared" si="5"/>
        <v>1</v>
      </c>
      <c r="K91" s="103">
        <f t="shared" si="6"/>
        <v>1.0638297872340425</v>
      </c>
      <c r="L91" s="65">
        <f t="shared" si="7"/>
        <v>1.6699999999999997</v>
      </c>
    </row>
    <row r="92" spans="1:12" x14ac:dyDescent="0.15">
      <c r="A92" s="68" t="s">
        <v>129</v>
      </c>
      <c r="B92" s="98" t="s">
        <v>130</v>
      </c>
      <c r="C92" s="99" t="s">
        <v>517</v>
      </c>
      <c r="D92" s="46" t="s">
        <v>245</v>
      </c>
      <c r="E92" s="102">
        <v>10</v>
      </c>
      <c r="F92" s="102">
        <v>0</v>
      </c>
      <c r="G92" s="102">
        <v>6</v>
      </c>
      <c r="H92" s="76">
        <v>87.5</v>
      </c>
      <c r="I92" s="103">
        <f t="shared" si="4"/>
        <v>1.1111111111111112</v>
      </c>
      <c r="J92" s="103">
        <f t="shared" si="5"/>
        <v>1</v>
      </c>
      <c r="K92" s="103">
        <f t="shared" si="6"/>
        <v>1.0638297872340425</v>
      </c>
      <c r="L92" s="65">
        <f t="shared" si="7"/>
        <v>8</v>
      </c>
    </row>
    <row r="93" spans="1:12" x14ac:dyDescent="0.15">
      <c r="A93" s="68" t="s">
        <v>129</v>
      </c>
      <c r="B93" s="98" t="s">
        <v>130</v>
      </c>
      <c r="C93" s="99" t="s">
        <v>554</v>
      </c>
      <c r="D93" s="46" t="s">
        <v>245</v>
      </c>
      <c r="E93" s="102">
        <v>10</v>
      </c>
      <c r="F93" s="102">
        <v>0</v>
      </c>
      <c r="G93" s="102">
        <v>6</v>
      </c>
      <c r="H93" s="76">
        <v>26.666666666666668</v>
      </c>
      <c r="I93" s="103">
        <f t="shared" si="4"/>
        <v>1.1111111111111112</v>
      </c>
      <c r="J93" s="103">
        <f t="shared" si="5"/>
        <v>1</v>
      </c>
      <c r="K93" s="103">
        <f t="shared" si="6"/>
        <v>1.0638297872340425</v>
      </c>
      <c r="L93" s="65">
        <f t="shared" si="7"/>
        <v>1.3636363636363638</v>
      </c>
    </row>
    <row r="94" spans="1:12" x14ac:dyDescent="0.15">
      <c r="A94" s="68" t="s">
        <v>129</v>
      </c>
      <c r="B94" s="98" t="s">
        <v>132</v>
      </c>
      <c r="C94" s="99" t="s">
        <v>429</v>
      </c>
      <c r="D94" s="46" t="s">
        <v>245</v>
      </c>
      <c r="E94" s="102">
        <v>20</v>
      </c>
      <c r="F94" s="102">
        <v>7</v>
      </c>
      <c r="G94" s="102">
        <v>35.057552741528717</v>
      </c>
      <c r="H94" s="76">
        <v>9</v>
      </c>
      <c r="I94" s="103">
        <f t="shared" si="4"/>
        <v>1.25</v>
      </c>
      <c r="J94" s="103">
        <f t="shared" si="5"/>
        <v>1.075268817204301</v>
      </c>
      <c r="K94" s="103">
        <f t="shared" si="6"/>
        <v>1.5398249407201963</v>
      </c>
      <c r="L94" s="65">
        <f t="shared" si="7"/>
        <v>1.098901098901099</v>
      </c>
    </row>
    <row r="95" spans="1:12" x14ac:dyDescent="0.15">
      <c r="A95" s="68" t="s">
        <v>129</v>
      </c>
      <c r="B95" s="98" t="s">
        <v>132</v>
      </c>
      <c r="C95" s="99" t="s">
        <v>431</v>
      </c>
      <c r="D95" s="46" t="s">
        <v>245</v>
      </c>
      <c r="E95" s="102">
        <v>10</v>
      </c>
      <c r="F95" s="102">
        <v>0</v>
      </c>
      <c r="G95" s="102">
        <v>6</v>
      </c>
      <c r="H95" s="76">
        <v>30.555555555555557</v>
      </c>
      <c r="I95" s="103">
        <f t="shared" si="4"/>
        <v>1.1111111111111112</v>
      </c>
      <c r="J95" s="103">
        <f t="shared" si="5"/>
        <v>1</v>
      </c>
      <c r="K95" s="103">
        <f t="shared" si="6"/>
        <v>1.0638297872340425</v>
      </c>
      <c r="L95" s="65">
        <f t="shared" si="7"/>
        <v>1.44</v>
      </c>
    </row>
    <row r="96" spans="1:12" x14ac:dyDescent="0.15">
      <c r="A96" s="68" t="s">
        <v>129</v>
      </c>
      <c r="B96" s="98" t="s">
        <v>132</v>
      </c>
      <c r="C96" s="99" t="s">
        <v>432</v>
      </c>
      <c r="D96" s="46" t="s">
        <v>245</v>
      </c>
      <c r="E96" s="102">
        <v>10</v>
      </c>
      <c r="F96" s="102">
        <v>0</v>
      </c>
      <c r="G96" s="102">
        <v>6</v>
      </c>
      <c r="H96" s="76">
        <v>9.0909090909090935</v>
      </c>
      <c r="I96" s="103">
        <f t="shared" si="4"/>
        <v>1.1111111111111112</v>
      </c>
      <c r="J96" s="103">
        <f t="shared" si="5"/>
        <v>1</v>
      </c>
      <c r="K96" s="103">
        <f t="shared" si="6"/>
        <v>1.0638297872340425</v>
      </c>
      <c r="L96" s="65">
        <f t="shared" si="7"/>
        <v>1.1000000000000001</v>
      </c>
    </row>
    <row r="97" spans="1:12" x14ac:dyDescent="0.15">
      <c r="A97" s="68" t="s">
        <v>129</v>
      </c>
      <c r="B97" s="98" t="s">
        <v>132</v>
      </c>
      <c r="C97" s="99" t="s">
        <v>517</v>
      </c>
      <c r="D97" s="46" t="s">
        <v>245</v>
      </c>
      <c r="E97" s="102">
        <v>10</v>
      </c>
      <c r="F97" s="102">
        <v>0</v>
      </c>
      <c r="G97" s="102">
        <v>6</v>
      </c>
      <c r="H97" s="76">
        <v>82.014388489208628</v>
      </c>
      <c r="I97" s="103">
        <f t="shared" si="4"/>
        <v>1.1111111111111112</v>
      </c>
      <c r="J97" s="103">
        <f t="shared" si="5"/>
        <v>1</v>
      </c>
      <c r="K97" s="103">
        <f t="shared" si="6"/>
        <v>1.0638297872340425</v>
      </c>
      <c r="L97" s="65">
        <f t="shared" si="7"/>
        <v>5.5599999999999987</v>
      </c>
    </row>
    <row r="98" spans="1:12" x14ac:dyDescent="0.15">
      <c r="A98" s="68" t="s">
        <v>129</v>
      </c>
      <c r="B98" s="98" t="s">
        <v>133</v>
      </c>
      <c r="C98" s="99" t="s">
        <v>429</v>
      </c>
      <c r="D98" s="46" t="s">
        <v>245</v>
      </c>
      <c r="E98" s="102">
        <v>20</v>
      </c>
      <c r="F98" s="102">
        <v>26</v>
      </c>
      <c r="G98" s="102">
        <v>9.3232931258867566</v>
      </c>
      <c r="H98" s="76">
        <v>6</v>
      </c>
      <c r="I98" s="103">
        <f t="shared" si="4"/>
        <v>1.25</v>
      </c>
      <c r="J98" s="103">
        <f t="shared" si="5"/>
        <v>1.3513513513513513</v>
      </c>
      <c r="K98" s="103">
        <f t="shared" si="6"/>
        <v>1.1028190529551356</v>
      </c>
      <c r="L98" s="65">
        <f t="shared" si="7"/>
        <v>1.0638297872340425</v>
      </c>
    </row>
    <row r="99" spans="1:12" x14ac:dyDescent="0.15">
      <c r="A99" s="68" t="s">
        <v>129</v>
      </c>
      <c r="B99" s="98" t="s">
        <v>134</v>
      </c>
      <c r="C99" s="99" t="s">
        <v>429</v>
      </c>
      <c r="D99" s="46" t="s">
        <v>245</v>
      </c>
      <c r="E99" s="102">
        <v>20</v>
      </c>
      <c r="F99" s="102">
        <v>36</v>
      </c>
      <c r="G99" s="102">
        <v>7.9662532434593452</v>
      </c>
      <c r="H99" s="76">
        <v>0</v>
      </c>
      <c r="I99" s="103">
        <f t="shared" si="4"/>
        <v>1.25</v>
      </c>
      <c r="J99" s="103">
        <f t="shared" si="5"/>
        <v>1.5625</v>
      </c>
      <c r="K99" s="103">
        <f t="shared" si="6"/>
        <v>1.0865579586206862</v>
      </c>
      <c r="L99" s="65">
        <f t="shared" si="7"/>
        <v>1</v>
      </c>
    </row>
    <row r="100" spans="1:12" x14ac:dyDescent="0.15">
      <c r="A100" s="68" t="s">
        <v>129</v>
      </c>
      <c r="B100" s="98" t="s">
        <v>135</v>
      </c>
      <c r="C100" s="99" t="s">
        <v>432</v>
      </c>
      <c r="D100" s="46" t="s">
        <v>245</v>
      </c>
      <c r="E100" s="102">
        <v>10</v>
      </c>
      <c r="F100" s="102">
        <v>0</v>
      </c>
      <c r="G100" s="102">
        <v>6</v>
      </c>
      <c r="H100" s="76">
        <v>0</v>
      </c>
      <c r="I100" s="103">
        <f t="shared" si="4"/>
        <v>1.1111111111111112</v>
      </c>
      <c r="J100" s="103">
        <f t="shared" si="5"/>
        <v>1</v>
      </c>
      <c r="K100" s="103">
        <f t="shared" si="6"/>
        <v>1.0638297872340425</v>
      </c>
      <c r="L100" s="65">
        <f t="shared" si="7"/>
        <v>1</v>
      </c>
    </row>
    <row r="101" spans="1:12" x14ac:dyDescent="0.15">
      <c r="A101" s="68" t="s">
        <v>129</v>
      </c>
      <c r="B101" s="98" t="s">
        <v>136</v>
      </c>
      <c r="C101" s="99" t="s">
        <v>429</v>
      </c>
      <c r="D101" s="46" t="s">
        <v>245</v>
      </c>
      <c r="E101" s="102">
        <v>20</v>
      </c>
      <c r="F101" s="102">
        <v>5</v>
      </c>
      <c r="G101" s="102">
        <v>5.246767404572406</v>
      </c>
      <c r="H101" s="76">
        <v>8</v>
      </c>
      <c r="I101" s="103">
        <f t="shared" si="4"/>
        <v>1.25</v>
      </c>
      <c r="J101" s="103">
        <f t="shared" si="5"/>
        <v>1.0526315789473684</v>
      </c>
      <c r="K101" s="103">
        <f t="shared" si="6"/>
        <v>1.0553729647090224</v>
      </c>
      <c r="L101" s="65">
        <f t="shared" si="7"/>
        <v>1.0869565217391304</v>
      </c>
    </row>
    <row r="102" spans="1:12" x14ac:dyDescent="0.15">
      <c r="A102" s="68" t="s">
        <v>129</v>
      </c>
      <c r="B102" s="98" t="s">
        <v>136</v>
      </c>
      <c r="C102" s="99" t="s">
        <v>432</v>
      </c>
      <c r="D102" s="46" t="s">
        <v>245</v>
      </c>
      <c r="E102" s="102">
        <v>10</v>
      </c>
      <c r="F102" s="102">
        <v>0</v>
      </c>
      <c r="G102" s="102">
        <v>6</v>
      </c>
      <c r="H102" s="76">
        <v>2.9126213592232997</v>
      </c>
      <c r="I102" s="103">
        <f t="shared" si="4"/>
        <v>1.1111111111111112</v>
      </c>
      <c r="J102" s="103">
        <f t="shared" si="5"/>
        <v>1</v>
      </c>
      <c r="K102" s="103">
        <f t="shared" si="6"/>
        <v>1.0638297872340425</v>
      </c>
      <c r="L102" s="65">
        <f t="shared" si="7"/>
        <v>1.03</v>
      </c>
    </row>
    <row r="103" spans="1:12" x14ac:dyDescent="0.15">
      <c r="A103" s="68" t="s">
        <v>129</v>
      </c>
      <c r="B103" s="98" t="s">
        <v>137</v>
      </c>
      <c r="C103" s="99" t="s">
        <v>429</v>
      </c>
      <c r="D103" s="46" t="s">
        <v>245</v>
      </c>
      <c r="E103" s="102">
        <v>20</v>
      </c>
      <c r="F103" s="102">
        <v>49</v>
      </c>
      <c r="G103" s="102">
        <v>12.198975570771644</v>
      </c>
      <c r="H103" s="76">
        <v>8</v>
      </c>
      <c r="I103" s="103">
        <f t="shared" si="4"/>
        <v>1.25</v>
      </c>
      <c r="J103" s="103">
        <f t="shared" si="5"/>
        <v>1.9607843137254901</v>
      </c>
      <c r="K103" s="103">
        <f t="shared" si="6"/>
        <v>1.1389388751449543</v>
      </c>
      <c r="L103" s="65">
        <f t="shared" si="7"/>
        <v>1.0869565217391304</v>
      </c>
    </row>
    <row r="104" spans="1:12" x14ac:dyDescent="0.15">
      <c r="A104" s="68" t="s">
        <v>129</v>
      </c>
      <c r="B104" s="98" t="s">
        <v>138</v>
      </c>
      <c r="C104" s="99" t="s">
        <v>429</v>
      </c>
      <c r="D104" s="46" t="s">
        <v>245</v>
      </c>
      <c r="E104" s="102">
        <v>20</v>
      </c>
      <c r="F104" s="102">
        <v>9</v>
      </c>
      <c r="G104" s="102">
        <v>3.8721252909784472</v>
      </c>
      <c r="H104" s="76">
        <v>8</v>
      </c>
      <c r="I104" s="103">
        <f t="shared" si="4"/>
        <v>1.25</v>
      </c>
      <c r="J104" s="103">
        <f t="shared" si="5"/>
        <v>1.098901098901099</v>
      </c>
      <c r="K104" s="103">
        <f t="shared" si="6"/>
        <v>1.0402809830415927</v>
      </c>
      <c r="L104" s="65">
        <f t="shared" si="7"/>
        <v>1.0869565217391304</v>
      </c>
    </row>
    <row r="105" spans="1:12" x14ac:dyDescent="0.15">
      <c r="A105" s="68" t="s">
        <v>129</v>
      </c>
      <c r="B105" s="98" t="s">
        <v>138</v>
      </c>
      <c r="C105" s="99" t="s">
        <v>431</v>
      </c>
      <c r="D105" s="46" t="s">
        <v>245</v>
      </c>
      <c r="E105" s="102">
        <v>10</v>
      </c>
      <c r="F105" s="102">
        <v>0</v>
      </c>
      <c r="G105" s="102">
        <v>6</v>
      </c>
      <c r="H105" s="76">
        <v>16.317991631799167</v>
      </c>
      <c r="I105" s="103">
        <f t="shared" si="4"/>
        <v>1.1111111111111112</v>
      </c>
      <c r="J105" s="103">
        <f t="shared" si="5"/>
        <v>1</v>
      </c>
      <c r="K105" s="103">
        <f t="shared" si="6"/>
        <v>1.0638297872340425</v>
      </c>
      <c r="L105" s="65">
        <f t="shared" si="7"/>
        <v>1.1950000000000001</v>
      </c>
    </row>
    <row r="106" spans="1:12" x14ac:dyDescent="0.15">
      <c r="A106" s="68" t="s">
        <v>129</v>
      </c>
      <c r="B106" s="98" t="s">
        <v>138</v>
      </c>
      <c r="C106" s="99" t="s">
        <v>432</v>
      </c>
      <c r="D106" s="46" t="s">
        <v>245</v>
      </c>
      <c r="E106" s="102">
        <v>10</v>
      </c>
      <c r="F106" s="102">
        <v>0</v>
      </c>
      <c r="G106" s="102">
        <v>6</v>
      </c>
      <c r="H106" s="76">
        <v>9.9099099099099206</v>
      </c>
      <c r="I106" s="103">
        <f t="shared" si="4"/>
        <v>1.1111111111111112</v>
      </c>
      <c r="J106" s="103">
        <f t="shared" si="5"/>
        <v>1</v>
      </c>
      <c r="K106" s="103">
        <f t="shared" si="6"/>
        <v>1.0638297872340425</v>
      </c>
      <c r="L106" s="65">
        <f t="shared" si="7"/>
        <v>1.1100000000000001</v>
      </c>
    </row>
    <row r="107" spans="1:12" x14ac:dyDescent="0.15">
      <c r="A107" s="68" t="s">
        <v>129</v>
      </c>
      <c r="B107" s="98" t="s">
        <v>139</v>
      </c>
      <c r="C107" s="99" t="s">
        <v>429</v>
      </c>
      <c r="D107" s="46" t="s">
        <v>245</v>
      </c>
      <c r="E107" s="102">
        <v>20</v>
      </c>
      <c r="F107" s="102">
        <v>2</v>
      </c>
      <c r="G107" s="102">
        <v>5.9719971077789449</v>
      </c>
      <c r="H107" s="76">
        <v>4</v>
      </c>
      <c r="I107" s="103">
        <f t="shared" si="4"/>
        <v>1.25</v>
      </c>
      <c r="J107" s="103">
        <f t="shared" si="5"/>
        <v>1.0204081632653061</v>
      </c>
      <c r="K107" s="103">
        <f t="shared" si="6"/>
        <v>1.0635129634160614</v>
      </c>
      <c r="L107" s="65">
        <f t="shared" si="7"/>
        <v>1.0416666666666667</v>
      </c>
    </row>
    <row r="108" spans="1:12" x14ac:dyDescent="0.15">
      <c r="A108" s="68" t="s">
        <v>129</v>
      </c>
      <c r="B108" s="98" t="s">
        <v>139</v>
      </c>
      <c r="C108" s="99" t="s">
        <v>554</v>
      </c>
      <c r="D108" s="46" t="s">
        <v>245</v>
      </c>
      <c r="E108" s="102">
        <v>10</v>
      </c>
      <c r="F108" s="102">
        <v>0</v>
      </c>
      <c r="G108" s="102">
        <v>6</v>
      </c>
      <c r="H108" s="76">
        <v>3.1999999999999931</v>
      </c>
      <c r="I108" s="103">
        <f t="shared" si="4"/>
        <v>1.1111111111111112</v>
      </c>
      <c r="J108" s="103">
        <f t="shared" si="5"/>
        <v>1</v>
      </c>
      <c r="K108" s="103">
        <f t="shared" si="6"/>
        <v>1.0638297872340425</v>
      </c>
      <c r="L108" s="65">
        <f t="shared" si="7"/>
        <v>1.0330578512396693</v>
      </c>
    </row>
    <row r="109" spans="1:12" x14ac:dyDescent="0.15">
      <c r="A109" s="68" t="s">
        <v>129</v>
      </c>
      <c r="B109" s="98" t="s">
        <v>140</v>
      </c>
      <c r="C109" s="99" t="s">
        <v>517</v>
      </c>
      <c r="D109" s="46" t="s">
        <v>245</v>
      </c>
      <c r="E109" s="102">
        <v>10</v>
      </c>
      <c r="F109" s="102">
        <v>10</v>
      </c>
      <c r="G109" s="102">
        <v>6</v>
      </c>
      <c r="H109" s="76">
        <v>6.5420560747663554</v>
      </c>
      <c r="I109" s="103">
        <f t="shared" si="4"/>
        <v>1.1111111111111112</v>
      </c>
      <c r="J109" s="103">
        <f t="shared" si="5"/>
        <v>1.1111111111111112</v>
      </c>
      <c r="K109" s="103">
        <f t="shared" si="6"/>
        <v>1.0638297872340425</v>
      </c>
      <c r="L109" s="65">
        <f t="shared" si="7"/>
        <v>1.0699999999999998</v>
      </c>
    </row>
    <row r="110" spans="1:12" x14ac:dyDescent="0.15">
      <c r="A110" s="68" t="s">
        <v>129</v>
      </c>
      <c r="B110" s="98" t="s">
        <v>141</v>
      </c>
      <c r="C110" s="99" t="s">
        <v>517</v>
      </c>
      <c r="D110" s="46" t="s">
        <v>245</v>
      </c>
      <c r="E110" s="102">
        <v>10</v>
      </c>
      <c r="F110" s="102">
        <v>0</v>
      </c>
      <c r="G110" s="102">
        <v>6</v>
      </c>
      <c r="H110" s="76">
        <v>65.986394557823132</v>
      </c>
      <c r="I110" s="103">
        <f t="shared" si="4"/>
        <v>1.1111111111111112</v>
      </c>
      <c r="J110" s="103">
        <f t="shared" si="5"/>
        <v>1</v>
      </c>
      <c r="K110" s="103">
        <f t="shared" si="6"/>
        <v>1.0638297872340425</v>
      </c>
      <c r="L110" s="65">
        <f t="shared" si="7"/>
        <v>2.9400000000000004</v>
      </c>
    </row>
    <row r="111" spans="1:12" x14ac:dyDescent="0.15">
      <c r="A111" s="68" t="s">
        <v>129</v>
      </c>
      <c r="B111" s="98" t="s">
        <v>142</v>
      </c>
      <c r="C111" s="99" t="s">
        <v>429</v>
      </c>
      <c r="D111" s="46" t="s">
        <v>245</v>
      </c>
      <c r="E111" s="102">
        <v>20</v>
      </c>
      <c r="F111" s="102">
        <v>4</v>
      </c>
      <c r="G111" s="102">
        <v>7.5845221357854928</v>
      </c>
      <c r="H111" s="76">
        <v>9</v>
      </c>
      <c r="I111" s="103">
        <f t="shared" si="4"/>
        <v>1.25</v>
      </c>
      <c r="J111" s="103">
        <f t="shared" si="5"/>
        <v>1.0416666666666667</v>
      </c>
      <c r="K111" s="103">
        <f t="shared" si="6"/>
        <v>1.0820698254347543</v>
      </c>
      <c r="L111" s="65">
        <f t="shared" si="7"/>
        <v>1.098901098901099</v>
      </c>
    </row>
    <row r="112" spans="1:12" x14ac:dyDescent="0.15">
      <c r="A112" s="68" t="s">
        <v>129</v>
      </c>
      <c r="B112" s="98" t="s">
        <v>142</v>
      </c>
      <c r="C112" s="99" t="s">
        <v>554</v>
      </c>
      <c r="D112" s="46" t="s">
        <v>245</v>
      </c>
      <c r="E112" s="102">
        <v>10</v>
      </c>
      <c r="F112" s="102">
        <v>0</v>
      </c>
      <c r="G112" s="102">
        <v>6</v>
      </c>
      <c r="H112" s="76">
        <v>19.090909090909083</v>
      </c>
      <c r="I112" s="103">
        <f t="shared" si="4"/>
        <v>1.1111111111111112</v>
      </c>
      <c r="J112" s="103">
        <f t="shared" si="5"/>
        <v>1</v>
      </c>
      <c r="K112" s="103">
        <f t="shared" si="6"/>
        <v>1.0638297872340425</v>
      </c>
      <c r="L112" s="65">
        <f t="shared" si="7"/>
        <v>1.2359550561797752</v>
      </c>
    </row>
    <row r="113" spans="1:12" x14ac:dyDescent="0.15">
      <c r="A113" s="68" t="s">
        <v>129</v>
      </c>
      <c r="B113" s="98" t="s">
        <v>143</v>
      </c>
      <c r="C113" s="99" t="s">
        <v>429</v>
      </c>
      <c r="D113" s="46" t="s">
        <v>245</v>
      </c>
      <c r="E113" s="102">
        <v>20</v>
      </c>
      <c r="F113" s="102">
        <v>54</v>
      </c>
      <c r="G113" s="102">
        <v>22.760924000355246</v>
      </c>
      <c r="H113" s="76">
        <v>8</v>
      </c>
      <c r="I113" s="103">
        <f t="shared" si="4"/>
        <v>1.25</v>
      </c>
      <c r="J113" s="103">
        <f t="shared" si="5"/>
        <v>2.1739130434782608</v>
      </c>
      <c r="K113" s="103">
        <f t="shared" si="6"/>
        <v>1.2946814640876845</v>
      </c>
      <c r="L113" s="65">
        <f t="shared" si="7"/>
        <v>1.0869565217391304</v>
      </c>
    </row>
    <row r="114" spans="1:12" x14ac:dyDescent="0.15">
      <c r="A114" s="68" t="s">
        <v>129</v>
      </c>
      <c r="B114" s="98" t="s">
        <v>144</v>
      </c>
      <c r="C114" s="99" t="s">
        <v>429</v>
      </c>
      <c r="D114" s="46" t="s">
        <v>245</v>
      </c>
      <c r="E114" s="102">
        <v>20</v>
      </c>
      <c r="F114" s="102">
        <v>14</v>
      </c>
      <c r="G114" s="102">
        <v>12.655465353913275</v>
      </c>
      <c r="H114" s="76">
        <v>9</v>
      </c>
      <c r="I114" s="103">
        <f t="shared" si="4"/>
        <v>1.25</v>
      </c>
      <c r="J114" s="103">
        <f t="shared" si="5"/>
        <v>1.1627906976744187</v>
      </c>
      <c r="K114" s="103">
        <f t="shared" si="6"/>
        <v>1.1448913249717596</v>
      </c>
      <c r="L114" s="65">
        <f t="shared" si="7"/>
        <v>1.098901098901099</v>
      </c>
    </row>
    <row r="115" spans="1:12" x14ac:dyDescent="0.15">
      <c r="A115" s="68" t="s">
        <v>129</v>
      </c>
      <c r="B115" s="98" t="s">
        <v>145</v>
      </c>
      <c r="C115" s="99" t="s">
        <v>429</v>
      </c>
      <c r="D115" s="46" t="s">
        <v>245</v>
      </c>
      <c r="E115" s="102">
        <v>20</v>
      </c>
      <c r="F115" s="102">
        <v>31</v>
      </c>
      <c r="G115" s="102">
        <v>14.465165583510988</v>
      </c>
      <c r="H115" s="76">
        <v>5</v>
      </c>
      <c r="I115" s="103">
        <f t="shared" si="4"/>
        <v>1.25</v>
      </c>
      <c r="J115" s="103">
        <f t="shared" si="5"/>
        <v>1.4492753623188406</v>
      </c>
      <c r="K115" s="103">
        <f t="shared" si="6"/>
        <v>1.1691143226287986</v>
      </c>
      <c r="L115" s="65">
        <f t="shared" si="7"/>
        <v>1.0526315789473684</v>
      </c>
    </row>
    <row r="116" spans="1:12" x14ac:dyDescent="0.15">
      <c r="A116" s="68" t="s">
        <v>129</v>
      </c>
      <c r="B116" s="98" t="s">
        <v>146</v>
      </c>
      <c r="C116" s="99" t="s">
        <v>431</v>
      </c>
      <c r="D116" s="46" t="s">
        <v>245</v>
      </c>
      <c r="E116" s="102">
        <v>10</v>
      </c>
      <c r="F116" s="102">
        <v>0</v>
      </c>
      <c r="G116" s="102">
        <v>6</v>
      </c>
      <c r="H116" s="76">
        <v>5.6603773584905763</v>
      </c>
      <c r="I116" s="103">
        <f t="shared" si="4"/>
        <v>1.1111111111111112</v>
      </c>
      <c r="J116" s="103">
        <f t="shared" si="5"/>
        <v>1</v>
      </c>
      <c r="K116" s="103">
        <f t="shared" si="6"/>
        <v>1.0638297872340425</v>
      </c>
      <c r="L116" s="65">
        <f t="shared" si="7"/>
        <v>1.06</v>
      </c>
    </row>
    <row r="117" spans="1:12" x14ac:dyDescent="0.15">
      <c r="A117" s="68" t="s">
        <v>129</v>
      </c>
      <c r="B117" s="98" t="s">
        <v>147</v>
      </c>
      <c r="C117" s="99" t="s">
        <v>429</v>
      </c>
      <c r="D117" s="46" t="s">
        <v>245</v>
      </c>
      <c r="E117" s="102">
        <v>35</v>
      </c>
      <c r="F117" s="102">
        <v>7</v>
      </c>
      <c r="G117" s="102">
        <v>11.910544877832084</v>
      </c>
      <c r="H117" s="76">
        <v>5</v>
      </c>
      <c r="I117" s="103">
        <f t="shared" si="4"/>
        <v>1.5384615384615385</v>
      </c>
      <c r="J117" s="103">
        <f t="shared" si="5"/>
        <v>1.075268817204301</v>
      </c>
      <c r="K117" s="103">
        <f t="shared" si="6"/>
        <v>1.1352096554725397</v>
      </c>
      <c r="L117" s="65">
        <f t="shared" si="7"/>
        <v>1.0526315789473684</v>
      </c>
    </row>
    <row r="118" spans="1:12" x14ac:dyDescent="0.15">
      <c r="A118" s="68" t="s">
        <v>129</v>
      </c>
      <c r="B118" s="98" t="s">
        <v>147</v>
      </c>
      <c r="C118" s="99" t="s">
        <v>431</v>
      </c>
      <c r="D118" s="46" t="s">
        <v>245</v>
      </c>
      <c r="E118" s="102">
        <v>10</v>
      </c>
      <c r="F118" s="102">
        <v>0</v>
      </c>
      <c r="G118" s="102">
        <v>6</v>
      </c>
      <c r="H118" s="76">
        <v>16.666666666666664</v>
      </c>
      <c r="I118" s="103">
        <f t="shared" si="4"/>
        <v>1.1111111111111112</v>
      </c>
      <c r="J118" s="103">
        <f t="shared" si="5"/>
        <v>1</v>
      </c>
      <c r="K118" s="103">
        <f t="shared" si="6"/>
        <v>1.0638297872340425</v>
      </c>
      <c r="L118" s="65">
        <f t="shared" si="7"/>
        <v>1.2</v>
      </c>
    </row>
    <row r="119" spans="1:12" x14ac:dyDescent="0.15">
      <c r="A119" s="68" t="s">
        <v>129</v>
      </c>
      <c r="B119" s="98" t="s">
        <v>147</v>
      </c>
      <c r="C119" s="99" t="s">
        <v>432</v>
      </c>
      <c r="D119" s="46" t="s">
        <v>245</v>
      </c>
      <c r="E119" s="102">
        <v>10</v>
      </c>
      <c r="F119" s="102">
        <v>0</v>
      </c>
      <c r="G119" s="102">
        <v>6</v>
      </c>
      <c r="H119" s="76">
        <v>19.999999999999996</v>
      </c>
      <c r="I119" s="103">
        <f t="shared" si="4"/>
        <v>1.1111111111111112</v>
      </c>
      <c r="J119" s="103">
        <f t="shared" si="5"/>
        <v>1</v>
      </c>
      <c r="K119" s="103">
        <f t="shared" si="6"/>
        <v>1.0638297872340425</v>
      </c>
      <c r="L119" s="65">
        <f t="shared" si="7"/>
        <v>1.25</v>
      </c>
    </row>
    <row r="120" spans="1:12" x14ac:dyDescent="0.15">
      <c r="A120" s="68" t="s">
        <v>129</v>
      </c>
      <c r="B120" s="98" t="s">
        <v>147</v>
      </c>
      <c r="C120" s="99" t="s">
        <v>517</v>
      </c>
      <c r="D120" s="46" t="s">
        <v>245</v>
      </c>
      <c r="E120" s="102">
        <v>10</v>
      </c>
      <c r="F120" s="102">
        <v>0</v>
      </c>
      <c r="G120" s="102">
        <v>6</v>
      </c>
      <c r="H120" s="76">
        <v>83.374896093100574</v>
      </c>
      <c r="I120" s="103">
        <f t="shared" si="4"/>
        <v>1.1111111111111112</v>
      </c>
      <c r="J120" s="103">
        <f t="shared" si="5"/>
        <v>1</v>
      </c>
      <c r="K120" s="103">
        <f t="shared" si="6"/>
        <v>1.0638297872340425</v>
      </c>
      <c r="L120" s="65">
        <f t="shared" si="7"/>
        <v>6.014999999999997</v>
      </c>
    </row>
    <row r="121" spans="1:12" x14ac:dyDescent="0.15">
      <c r="A121" s="68" t="s">
        <v>129</v>
      </c>
      <c r="B121" s="98" t="s">
        <v>148</v>
      </c>
      <c r="C121" s="99" t="s">
        <v>429</v>
      </c>
      <c r="D121" s="46" t="s">
        <v>245</v>
      </c>
      <c r="E121" s="102">
        <v>20</v>
      </c>
      <c r="F121" s="102">
        <v>10</v>
      </c>
      <c r="G121" s="102">
        <v>17.578948639861824</v>
      </c>
      <c r="H121" s="76">
        <v>5</v>
      </c>
      <c r="I121" s="103">
        <f t="shared" si="4"/>
        <v>1.25</v>
      </c>
      <c r="J121" s="103">
        <f t="shared" si="5"/>
        <v>1.1111111111111112</v>
      </c>
      <c r="K121" s="103">
        <f t="shared" si="6"/>
        <v>1.213282266481299</v>
      </c>
      <c r="L121" s="65">
        <f t="shared" si="7"/>
        <v>1.0526315789473684</v>
      </c>
    </row>
    <row r="122" spans="1:12" x14ac:dyDescent="0.15">
      <c r="A122" s="68" t="s">
        <v>129</v>
      </c>
      <c r="B122" s="98" t="s">
        <v>148</v>
      </c>
      <c r="C122" s="99" t="s">
        <v>431</v>
      </c>
      <c r="D122" s="46" t="s">
        <v>245</v>
      </c>
      <c r="E122" s="102">
        <v>10</v>
      </c>
      <c r="F122" s="102">
        <v>0</v>
      </c>
      <c r="G122" s="102">
        <v>6</v>
      </c>
      <c r="H122" s="76">
        <v>0</v>
      </c>
      <c r="I122" s="103">
        <f t="shared" si="4"/>
        <v>1.1111111111111112</v>
      </c>
      <c r="J122" s="103">
        <f t="shared" si="5"/>
        <v>1</v>
      </c>
      <c r="K122" s="103">
        <f t="shared" si="6"/>
        <v>1.0638297872340425</v>
      </c>
      <c r="L122" s="65">
        <f t="shared" si="7"/>
        <v>1</v>
      </c>
    </row>
    <row r="123" spans="1:12" x14ac:dyDescent="0.15">
      <c r="A123" s="68" t="s">
        <v>129</v>
      </c>
      <c r="B123" s="98" t="s">
        <v>148</v>
      </c>
      <c r="C123" s="99" t="s">
        <v>517</v>
      </c>
      <c r="D123" s="46" t="s">
        <v>245</v>
      </c>
      <c r="E123" s="102">
        <v>10</v>
      </c>
      <c r="F123" s="102">
        <v>0</v>
      </c>
      <c r="G123" s="102">
        <v>6</v>
      </c>
      <c r="H123" s="76">
        <v>84.152139461172737</v>
      </c>
      <c r="I123" s="103">
        <f t="shared" si="4"/>
        <v>1.1111111111111112</v>
      </c>
      <c r="J123" s="103">
        <f t="shared" si="5"/>
        <v>1</v>
      </c>
      <c r="K123" s="103">
        <f t="shared" si="6"/>
        <v>1.0638297872340425</v>
      </c>
      <c r="L123" s="65">
        <f t="shared" si="7"/>
        <v>6.3099999999999987</v>
      </c>
    </row>
    <row r="124" spans="1:12" x14ac:dyDescent="0.15">
      <c r="A124" s="68" t="s">
        <v>129</v>
      </c>
      <c r="B124" s="98" t="s">
        <v>149</v>
      </c>
      <c r="C124" s="99" t="s">
        <v>429</v>
      </c>
      <c r="D124" s="46" t="s">
        <v>245</v>
      </c>
      <c r="E124" s="102">
        <v>20</v>
      </c>
      <c r="F124" s="102">
        <v>49</v>
      </c>
      <c r="G124" s="102">
        <v>14.629115889840037</v>
      </c>
      <c r="H124" s="76">
        <v>5</v>
      </c>
      <c r="I124" s="103">
        <f t="shared" si="4"/>
        <v>1.25</v>
      </c>
      <c r="J124" s="103">
        <f t="shared" si="5"/>
        <v>1.9607843137254901</v>
      </c>
      <c r="K124" s="103">
        <f t="shared" si="6"/>
        <v>1.1713595453804024</v>
      </c>
      <c r="L124" s="65">
        <f t="shared" si="7"/>
        <v>1.0526315789473684</v>
      </c>
    </row>
    <row r="125" spans="1:12" x14ac:dyDescent="0.15">
      <c r="A125" s="68" t="s">
        <v>129</v>
      </c>
      <c r="B125" s="98" t="s">
        <v>149</v>
      </c>
      <c r="C125" s="99" t="s">
        <v>431</v>
      </c>
      <c r="D125" s="46" t="s">
        <v>245</v>
      </c>
      <c r="E125" s="102">
        <v>10</v>
      </c>
      <c r="F125" s="102">
        <v>0</v>
      </c>
      <c r="G125" s="102">
        <v>6</v>
      </c>
      <c r="H125" s="76">
        <v>41.486249268578121</v>
      </c>
      <c r="I125" s="103">
        <f t="shared" si="4"/>
        <v>1.1111111111111112</v>
      </c>
      <c r="J125" s="103">
        <f t="shared" si="5"/>
        <v>1</v>
      </c>
      <c r="K125" s="103">
        <f t="shared" si="6"/>
        <v>1.0638297872340425</v>
      </c>
      <c r="L125" s="65">
        <f t="shared" si="7"/>
        <v>1.7090000000000001</v>
      </c>
    </row>
    <row r="126" spans="1:12" x14ac:dyDescent="0.15">
      <c r="A126" s="68" t="s">
        <v>129</v>
      </c>
      <c r="B126" s="98" t="s">
        <v>149</v>
      </c>
      <c r="C126" s="99" t="s">
        <v>554</v>
      </c>
      <c r="D126" s="46" t="s">
        <v>245</v>
      </c>
      <c r="E126" s="102">
        <v>10</v>
      </c>
      <c r="F126" s="102">
        <v>0</v>
      </c>
      <c r="G126" s="102">
        <v>6</v>
      </c>
      <c r="H126" s="76">
        <v>41.333333333333321</v>
      </c>
      <c r="I126" s="103">
        <f t="shared" si="4"/>
        <v>1.1111111111111112</v>
      </c>
      <c r="J126" s="103">
        <f t="shared" si="5"/>
        <v>1</v>
      </c>
      <c r="K126" s="103">
        <f t="shared" si="6"/>
        <v>1.0638297872340425</v>
      </c>
      <c r="L126" s="65">
        <f t="shared" si="7"/>
        <v>1.7045454545454541</v>
      </c>
    </row>
    <row r="127" spans="1:12" x14ac:dyDescent="0.15">
      <c r="A127" s="68" t="s">
        <v>129</v>
      </c>
      <c r="B127" s="98" t="s">
        <v>150</v>
      </c>
      <c r="C127" s="99" t="s">
        <v>429</v>
      </c>
      <c r="D127" s="46" t="s">
        <v>245</v>
      </c>
      <c r="E127" s="102">
        <v>20</v>
      </c>
      <c r="F127" s="102">
        <v>33</v>
      </c>
      <c r="G127" s="102">
        <v>54.890679056054253</v>
      </c>
      <c r="H127" s="76">
        <v>5</v>
      </c>
      <c r="I127" s="103">
        <f t="shared" si="4"/>
        <v>1.25</v>
      </c>
      <c r="J127" s="103">
        <f t="shared" si="5"/>
        <v>1.4925373134328359</v>
      </c>
      <c r="K127" s="103">
        <f t="shared" si="6"/>
        <v>2.216836740332738</v>
      </c>
      <c r="L127" s="65">
        <f t="shared" si="7"/>
        <v>1.0526315789473684</v>
      </c>
    </row>
    <row r="128" spans="1:12" x14ac:dyDescent="0.15">
      <c r="A128" s="68" t="s">
        <v>129</v>
      </c>
      <c r="B128" s="98" t="s">
        <v>151</v>
      </c>
      <c r="C128" s="99" t="s">
        <v>429</v>
      </c>
      <c r="D128" s="46" t="s">
        <v>245</v>
      </c>
      <c r="E128" s="102">
        <v>20</v>
      </c>
      <c r="F128" s="102">
        <v>6</v>
      </c>
      <c r="G128" s="102">
        <v>17.316554490124737</v>
      </c>
      <c r="H128" s="76">
        <v>5</v>
      </c>
      <c r="I128" s="103">
        <f t="shared" si="4"/>
        <v>1.25</v>
      </c>
      <c r="J128" s="103">
        <f t="shared" si="5"/>
        <v>1.0638297872340425</v>
      </c>
      <c r="K128" s="103">
        <f t="shared" si="6"/>
        <v>1.2094319411018803</v>
      </c>
      <c r="L128" s="65">
        <f t="shared" si="7"/>
        <v>1.0526315789473684</v>
      </c>
    </row>
    <row r="129" spans="1:12" x14ac:dyDescent="0.15">
      <c r="A129" s="68" t="s">
        <v>129</v>
      </c>
      <c r="B129" s="98" t="s">
        <v>151</v>
      </c>
      <c r="C129" s="99" t="s">
        <v>431</v>
      </c>
      <c r="D129" s="46" t="s">
        <v>245</v>
      </c>
      <c r="E129" s="102">
        <v>10</v>
      </c>
      <c r="F129" s="102">
        <v>0</v>
      </c>
      <c r="G129" s="102">
        <v>6</v>
      </c>
      <c r="H129" s="76">
        <v>33.774834437086085</v>
      </c>
      <c r="I129" s="103">
        <f t="shared" si="4"/>
        <v>1.1111111111111112</v>
      </c>
      <c r="J129" s="103">
        <f t="shared" si="5"/>
        <v>1</v>
      </c>
      <c r="K129" s="103">
        <f t="shared" si="6"/>
        <v>1.0638297872340425</v>
      </c>
      <c r="L129" s="65">
        <f t="shared" si="7"/>
        <v>1.5099999999999998</v>
      </c>
    </row>
    <row r="130" spans="1:12" x14ac:dyDescent="0.15">
      <c r="A130" s="68" t="s">
        <v>129</v>
      </c>
      <c r="B130" s="98" t="s">
        <v>152</v>
      </c>
      <c r="C130" s="99" t="s">
        <v>432</v>
      </c>
      <c r="D130" s="46" t="s">
        <v>245</v>
      </c>
      <c r="E130" s="102">
        <v>10</v>
      </c>
      <c r="F130" s="102">
        <v>0</v>
      </c>
      <c r="G130" s="102">
        <v>6</v>
      </c>
      <c r="H130" s="76">
        <v>15.254237288135586</v>
      </c>
      <c r="I130" s="103">
        <f t="shared" si="4"/>
        <v>1.1111111111111112</v>
      </c>
      <c r="J130" s="103">
        <f t="shared" si="5"/>
        <v>1</v>
      </c>
      <c r="K130" s="103">
        <f t="shared" si="6"/>
        <v>1.0638297872340425</v>
      </c>
      <c r="L130" s="65">
        <f t="shared" si="7"/>
        <v>1.18</v>
      </c>
    </row>
    <row r="131" spans="1:12" x14ac:dyDescent="0.15">
      <c r="A131" s="68" t="s">
        <v>129</v>
      </c>
      <c r="B131" s="98" t="s">
        <v>151</v>
      </c>
      <c r="C131" s="99" t="s">
        <v>517</v>
      </c>
      <c r="D131" s="46" t="s">
        <v>245</v>
      </c>
      <c r="E131" s="102">
        <v>10</v>
      </c>
      <c r="F131" s="102">
        <v>0</v>
      </c>
      <c r="G131" s="102">
        <v>6</v>
      </c>
      <c r="H131" s="76">
        <v>61.53846153846154</v>
      </c>
      <c r="I131" s="103">
        <f t="shared" si="4"/>
        <v>1.1111111111111112</v>
      </c>
      <c r="J131" s="103">
        <f t="shared" si="5"/>
        <v>1</v>
      </c>
      <c r="K131" s="103">
        <f t="shared" si="6"/>
        <v>1.0638297872340425</v>
      </c>
      <c r="L131" s="65">
        <f t="shared" si="7"/>
        <v>2.6</v>
      </c>
    </row>
    <row r="132" spans="1:12" x14ac:dyDescent="0.15">
      <c r="A132" s="68" t="s">
        <v>129</v>
      </c>
      <c r="B132" s="98" t="s">
        <v>153</v>
      </c>
      <c r="C132" s="99" t="s">
        <v>554</v>
      </c>
      <c r="D132" s="46" t="s">
        <v>245</v>
      </c>
      <c r="E132" s="102">
        <v>10</v>
      </c>
      <c r="F132" s="102">
        <v>0</v>
      </c>
      <c r="G132" s="102">
        <v>6</v>
      </c>
      <c r="H132" s="76">
        <v>27.692307692307676</v>
      </c>
      <c r="I132" s="103">
        <f t="shared" si="4"/>
        <v>1.1111111111111112</v>
      </c>
      <c r="J132" s="103">
        <f t="shared" si="5"/>
        <v>1</v>
      </c>
      <c r="K132" s="103">
        <f t="shared" si="6"/>
        <v>1.0638297872340425</v>
      </c>
      <c r="L132" s="65">
        <f t="shared" si="7"/>
        <v>1.382978723404255</v>
      </c>
    </row>
    <row r="133" spans="1:12" x14ac:dyDescent="0.15">
      <c r="A133" s="68" t="s">
        <v>129</v>
      </c>
      <c r="B133" s="98" t="s">
        <v>154</v>
      </c>
      <c r="C133" s="99" t="s">
        <v>517</v>
      </c>
      <c r="D133" s="46" t="s">
        <v>245</v>
      </c>
      <c r="E133" s="102">
        <v>10</v>
      </c>
      <c r="F133" s="102">
        <v>0</v>
      </c>
      <c r="G133" s="102">
        <v>6</v>
      </c>
      <c r="H133" s="76">
        <v>79.449121367734961</v>
      </c>
      <c r="I133" s="103">
        <f t="shared" si="4"/>
        <v>1.1111111111111112</v>
      </c>
      <c r="J133" s="103">
        <f t="shared" si="5"/>
        <v>1</v>
      </c>
      <c r="K133" s="103">
        <f t="shared" si="6"/>
        <v>1.0638297872340425</v>
      </c>
      <c r="L133" s="65">
        <f t="shared" si="7"/>
        <v>4.8659720000000011</v>
      </c>
    </row>
    <row r="134" spans="1:12" x14ac:dyDescent="0.15">
      <c r="A134" s="68" t="s">
        <v>129</v>
      </c>
      <c r="B134" s="98" t="s">
        <v>155</v>
      </c>
      <c r="C134" s="99" t="s">
        <v>429</v>
      </c>
      <c r="D134" s="46" t="s">
        <v>245</v>
      </c>
      <c r="E134" s="102">
        <v>16.666666666666668</v>
      </c>
      <c r="F134" s="102">
        <v>3.6666666666666665</v>
      </c>
      <c r="G134" s="102">
        <v>7.0002490139728737</v>
      </c>
      <c r="H134" s="76">
        <v>5.333333333333333</v>
      </c>
      <c r="I134" s="103">
        <f t="shared" si="4"/>
        <v>1.2000000000000002</v>
      </c>
      <c r="J134" s="103">
        <f t="shared" si="5"/>
        <v>1.0380622837370244</v>
      </c>
      <c r="K134" s="103">
        <f t="shared" si="6"/>
        <v>1.0752716963191078</v>
      </c>
      <c r="L134" s="65">
        <f t="shared" si="7"/>
        <v>1.056338028169014</v>
      </c>
    </row>
    <row r="135" spans="1:12" x14ac:dyDescent="0.15">
      <c r="A135" s="68" t="s">
        <v>129</v>
      </c>
      <c r="B135" s="98" t="s">
        <v>155</v>
      </c>
      <c r="C135" s="99" t="s">
        <v>432</v>
      </c>
      <c r="D135" s="46" t="s">
        <v>245</v>
      </c>
      <c r="E135" s="102">
        <v>10</v>
      </c>
      <c r="F135" s="102">
        <v>0</v>
      </c>
      <c r="G135" s="102">
        <v>6</v>
      </c>
      <c r="H135" s="76">
        <v>4.7619047619047672</v>
      </c>
      <c r="I135" s="103">
        <f t="shared" si="4"/>
        <v>1.1111111111111112</v>
      </c>
      <c r="J135" s="103">
        <f t="shared" si="5"/>
        <v>1</v>
      </c>
      <c r="K135" s="103">
        <f t="shared" si="6"/>
        <v>1.0638297872340425</v>
      </c>
      <c r="L135" s="65">
        <f t="shared" si="7"/>
        <v>1.05</v>
      </c>
    </row>
    <row r="136" spans="1:12" x14ac:dyDescent="0.15">
      <c r="A136" s="68" t="s">
        <v>129</v>
      </c>
      <c r="B136" s="98" t="s">
        <v>156</v>
      </c>
      <c r="C136" s="99" t="s">
        <v>429</v>
      </c>
      <c r="D136" s="46" t="s">
        <v>245</v>
      </c>
      <c r="E136" s="102">
        <v>20</v>
      </c>
      <c r="F136" s="102">
        <v>6</v>
      </c>
      <c r="G136" s="102">
        <v>9.753979637346216</v>
      </c>
      <c r="H136" s="76">
        <v>8</v>
      </c>
      <c r="I136" s="103">
        <f t="shared" si="4"/>
        <v>1.25</v>
      </c>
      <c r="J136" s="103">
        <f t="shared" si="5"/>
        <v>1.0638297872340425</v>
      </c>
      <c r="K136" s="103">
        <f t="shared" si="6"/>
        <v>1.1080821026583758</v>
      </c>
      <c r="L136" s="65">
        <f t="shared" si="7"/>
        <v>1.0869565217391304</v>
      </c>
    </row>
    <row r="137" spans="1:12" x14ac:dyDescent="0.15">
      <c r="A137" s="68" t="s">
        <v>129</v>
      </c>
      <c r="B137" s="98" t="s">
        <v>156</v>
      </c>
      <c r="C137" s="99" t="s">
        <v>432</v>
      </c>
      <c r="D137" s="46" t="s">
        <v>245</v>
      </c>
      <c r="E137" s="102">
        <v>10</v>
      </c>
      <c r="F137" s="102">
        <v>0</v>
      </c>
      <c r="G137" s="102">
        <v>6</v>
      </c>
      <c r="H137" s="76">
        <v>-12.359550561797761</v>
      </c>
      <c r="I137" s="103">
        <f t="shared" si="4"/>
        <v>1.1111111111111112</v>
      </c>
      <c r="J137" s="103">
        <f t="shared" si="5"/>
        <v>1</v>
      </c>
      <c r="K137" s="103">
        <f t="shared" si="6"/>
        <v>1.0638297872340425</v>
      </c>
      <c r="L137" s="65">
        <f t="shared" si="7"/>
        <v>0.8899999999999999</v>
      </c>
    </row>
    <row r="138" spans="1:12" x14ac:dyDescent="0.15">
      <c r="A138" s="68" t="s">
        <v>129</v>
      </c>
      <c r="B138" s="98" t="s">
        <v>157</v>
      </c>
      <c r="C138" s="99" t="s">
        <v>429</v>
      </c>
      <c r="D138" s="46" t="s">
        <v>245</v>
      </c>
      <c r="E138" s="102">
        <v>20</v>
      </c>
      <c r="F138" s="102">
        <v>48</v>
      </c>
      <c r="G138" s="102">
        <v>16.777334931261265</v>
      </c>
      <c r="H138" s="76">
        <v>10</v>
      </c>
      <c r="I138" s="173">
        <f t="shared" si="4"/>
        <v>1.25</v>
      </c>
      <c r="J138" s="103">
        <f t="shared" si="5"/>
        <v>1.9230769230769231</v>
      </c>
      <c r="K138" s="103">
        <f t="shared" si="6"/>
        <v>1.2015957421863843</v>
      </c>
      <c r="L138" s="65">
        <f t="shared" si="7"/>
        <v>1.1111111111111112</v>
      </c>
    </row>
    <row r="139" spans="1:12" x14ac:dyDescent="0.15">
      <c r="A139" s="162" t="s">
        <v>389</v>
      </c>
      <c r="B139" s="152"/>
      <c r="C139" s="178"/>
      <c r="D139" s="152"/>
      <c r="E139" s="175"/>
      <c r="F139" s="175"/>
      <c r="G139" s="175"/>
      <c r="H139" s="175"/>
      <c r="I139" s="176"/>
      <c r="J139" s="176"/>
      <c r="K139" s="176"/>
      <c r="L139" s="180"/>
    </row>
    <row r="140" spans="1:12" x14ac:dyDescent="0.15">
      <c r="A140" s="68" t="s">
        <v>7</v>
      </c>
      <c r="B140" s="98" t="s">
        <v>188</v>
      </c>
      <c r="C140" s="99" t="s">
        <v>1009</v>
      </c>
      <c r="D140" s="46" t="s">
        <v>238</v>
      </c>
      <c r="E140" s="102">
        <v>20</v>
      </c>
      <c r="F140" s="102">
        <v>0</v>
      </c>
      <c r="G140" s="102">
        <v>12</v>
      </c>
      <c r="H140" s="76">
        <v>0</v>
      </c>
      <c r="I140" s="103">
        <f t="shared" si="4"/>
        <v>1.25</v>
      </c>
      <c r="J140" s="103">
        <f t="shared" si="5"/>
        <v>1</v>
      </c>
      <c r="K140" s="103">
        <f t="shared" si="6"/>
        <v>1.1363636363636365</v>
      </c>
      <c r="L140" s="65">
        <f t="shared" si="7"/>
        <v>1</v>
      </c>
    </row>
    <row r="141" spans="1:12" x14ac:dyDescent="0.15">
      <c r="A141" s="68" t="s">
        <v>7</v>
      </c>
      <c r="B141" s="98" t="s">
        <v>188</v>
      </c>
      <c r="C141" s="99" t="s">
        <v>1010</v>
      </c>
      <c r="D141" s="46" t="s">
        <v>238</v>
      </c>
      <c r="E141" s="102">
        <v>20</v>
      </c>
      <c r="F141" s="102">
        <v>0</v>
      </c>
      <c r="G141" s="102">
        <v>12</v>
      </c>
      <c r="H141" s="76">
        <v>0</v>
      </c>
      <c r="I141" s="103">
        <f t="shared" si="4"/>
        <v>1.25</v>
      </c>
      <c r="J141" s="103">
        <f t="shared" si="5"/>
        <v>1</v>
      </c>
      <c r="K141" s="103">
        <f t="shared" si="6"/>
        <v>1.1363636363636365</v>
      </c>
      <c r="L141" s="65">
        <f t="shared" si="7"/>
        <v>1</v>
      </c>
    </row>
    <row r="142" spans="1:12" x14ac:dyDescent="0.15">
      <c r="A142" s="68" t="s">
        <v>7</v>
      </c>
      <c r="B142" s="98" t="s">
        <v>188</v>
      </c>
      <c r="C142" s="99" t="s">
        <v>1011</v>
      </c>
      <c r="D142" s="46" t="s">
        <v>238</v>
      </c>
      <c r="E142" s="102">
        <v>20</v>
      </c>
      <c r="F142" s="102">
        <v>0</v>
      </c>
      <c r="G142" s="102">
        <v>12</v>
      </c>
      <c r="H142" s="76">
        <v>0</v>
      </c>
      <c r="I142" s="103">
        <f t="shared" si="4"/>
        <v>1.25</v>
      </c>
      <c r="J142" s="103">
        <f t="shared" si="5"/>
        <v>1</v>
      </c>
      <c r="K142" s="103">
        <f t="shared" si="6"/>
        <v>1.1363636363636365</v>
      </c>
      <c r="L142" s="65">
        <f t="shared" si="7"/>
        <v>1</v>
      </c>
    </row>
    <row r="143" spans="1:12" x14ac:dyDescent="0.15">
      <c r="A143" s="68" t="s">
        <v>7</v>
      </c>
      <c r="B143" s="98" t="s">
        <v>188</v>
      </c>
      <c r="C143" s="99" t="s">
        <v>1012</v>
      </c>
      <c r="D143" s="46" t="s">
        <v>238</v>
      </c>
      <c r="E143" s="102">
        <v>20</v>
      </c>
      <c r="F143" s="102">
        <v>0</v>
      </c>
      <c r="G143" s="102">
        <v>12</v>
      </c>
      <c r="H143" s="76">
        <v>0</v>
      </c>
      <c r="I143" s="103">
        <f t="shared" ref="I143:I212" si="8">(100/(100-E143))</f>
        <v>1.25</v>
      </c>
      <c r="J143" s="103">
        <f t="shared" ref="J143:J212" si="9">(100/(100-F143))</f>
        <v>1</v>
      </c>
      <c r="K143" s="103">
        <f t="shared" ref="K143:K212" si="10">(100/(100-G143))</f>
        <v>1.1363636363636365</v>
      </c>
      <c r="L143" s="65">
        <f t="shared" ref="L143:L212" si="11">(100/(100-H143))</f>
        <v>1</v>
      </c>
    </row>
    <row r="144" spans="1:12" x14ac:dyDescent="0.15">
      <c r="A144" s="68" t="s">
        <v>7</v>
      </c>
      <c r="B144" s="98" t="s">
        <v>188</v>
      </c>
      <c r="C144" s="99" t="s">
        <v>1013</v>
      </c>
      <c r="D144" s="46" t="s">
        <v>238</v>
      </c>
      <c r="E144" s="102">
        <v>20</v>
      </c>
      <c r="F144" s="102">
        <v>0</v>
      </c>
      <c r="G144" s="102">
        <v>12</v>
      </c>
      <c r="H144" s="76">
        <v>0</v>
      </c>
      <c r="I144" s="103">
        <f t="shared" si="8"/>
        <v>1.25</v>
      </c>
      <c r="J144" s="103">
        <f t="shared" si="9"/>
        <v>1</v>
      </c>
      <c r="K144" s="103">
        <f t="shared" si="10"/>
        <v>1.1363636363636365</v>
      </c>
      <c r="L144" s="65">
        <f t="shared" si="11"/>
        <v>1</v>
      </c>
    </row>
    <row r="145" spans="1:12" x14ac:dyDescent="0.15">
      <c r="A145" s="68" t="s">
        <v>7</v>
      </c>
      <c r="B145" s="98" t="s">
        <v>188</v>
      </c>
      <c r="C145" s="99" t="s">
        <v>1014</v>
      </c>
      <c r="D145" s="46" t="s">
        <v>238</v>
      </c>
      <c r="E145" s="102">
        <v>20</v>
      </c>
      <c r="F145" s="102">
        <v>0</v>
      </c>
      <c r="G145" s="102">
        <v>12</v>
      </c>
      <c r="H145" s="76">
        <v>0</v>
      </c>
      <c r="I145" s="103">
        <f t="shared" si="8"/>
        <v>1.25</v>
      </c>
      <c r="J145" s="103">
        <f t="shared" si="9"/>
        <v>1</v>
      </c>
      <c r="K145" s="103">
        <f t="shared" si="10"/>
        <v>1.1363636363636365</v>
      </c>
      <c r="L145" s="65">
        <f t="shared" si="11"/>
        <v>1</v>
      </c>
    </row>
    <row r="146" spans="1:12" x14ac:dyDescent="0.15">
      <c r="A146" s="68" t="s">
        <v>7</v>
      </c>
      <c r="B146" s="98" t="s">
        <v>164</v>
      </c>
      <c r="C146" s="99" t="s">
        <v>164</v>
      </c>
      <c r="D146" s="46" t="s">
        <v>238</v>
      </c>
      <c r="E146" s="102">
        <v>20</v>
      </c>
      <c r="F146" s="102">
        <v>0</v>
      </c>
      <c r="G146" s="102">
        <v>12</v>
      </c>
      <c r="H146" s="76">
        <v>0</v>
      </c>
      <c r="I146" s="103">
        <f t="shared" si="8"/>
        <v>1.25</v>
      </c>
      <c r="J146" s="103">
        <f t="shared" si="9"/>
        <v>1</v>
      </c>
      <c r="K146" s="103">
        <f t="shared" si="10"/>
        <v>1.1363636363636365</v>
      </c>
      <c r="L146" s="65">
        <f t="shared" si="11"/>
        <v>1</v>
      </c>
    </row>
    <row r="147" spans="1:12" x14ac:dyDescent="0.15">
      <c r="A147" s="68" t="s">
        <v>7</v>
      </c>
      <c r="B147" s="98" t="s">
        <v>189</v>
      </c>
      <c r="C147" s="99" t="s">
        <v>165</v>
      </c>
      <c r="D147" s="46" t="s">
        <v>238</v>
      </c>
      <c r="E147" s="181">
        <v>13</v>
      </c>
      <c r="F147" s="181">
        <v>0</v>
      </c>
      <c r="G147" s="181">
        <v>6</v>
      </c>
      <c r="H147" s="182">
        <v>0</v>
      </c>
      <c r="I147" s="103">
        <f>(100/(100-E147))</f>
        <v>1.1494252873563218</v>
      </c>
      <c r="J147" s="103">
        <f>(100/(100-F147))</f>
        <v>1</v>
      </c>
      <c r="K147" s="103">
        <f>(100/(100-G147))</f>
        <v>1.0638297872340425</v>
      </c>
      <c r="L147" s="65">
        <f>(100/(100-H147))</f>
        <v>1</v>
      </c>
    </row>
    <row r="148" spans="1:12" x14ac:dyDescent="0.15">
      <c r="A148" s="68" t="s">
        <v>7</v>
      </c>
      <c r="B148" s="98" t="s">
        <v>190</v>
      </c>
      <c r="C148" s="99" t="s">
        <v>166</v>
      </c>
      <c r="D148" s="46" t="s">
        <v>238</v>
      </c>
      <c r="E148" s="181">
        <v>13</v>
      </c>
      <c r="F148" s="181">
        <v>0</v>
      </c>
      <c r="G148" s="181">
        <v>6</v>
      </c>
      <c r="H148" s="182">
        <v>0</v>
      </c>
      <c r="I148" s="103">
        <f t="shared" ref="I148:I168" si="12">(100/(100-E147))</f>
        <v>1.1494252873563218</v>
      </c>
      <c r="J148" s="103">
        <f t="shared" ref="J148:J168" si="13">(100/(100-F147))</f>
        <v>1</v>
      </c>
      <c r="K148" s="103">
        <f t="shared" ref="K148:K168" si="14">(100/(100-G147))</f>
        <v>1.0638297872340425</v>
      </c>
      <c r="L148" s="65">
        <f t="shared" ref="L148:L168" si="15">(100/(100-H147))</f>
        <v>1</v>
      </c>
    </row>
    <row r="149" spans="1:12" x14ac:dyDescent="0.15">
      <c r="A149" s="68" t="s">
        <v>7</v>
      </c>
      <c r="B149" s="98" t="s">
        <v>190</v>
      </c>
      <c r="C149" s="99" t="s">
        <v>167</v>
      </c>
      <c r="D149" s="46" t="s">
        <v>238</v>
      </c>
      <c r="E149" s="181">
        <v>13</v>
      </c>
      <c r="F149" s="181">
        <v>0</v>
      </c>
      <c r="G149" s="181">
        <v>6</v>
      </c>
      <c r="H149" s="182">
        <v>0</v>
      </c>
      <c r="I149" s="103">
        <f t="shared" si="12"/>
        <v>1.1494252873563218</v>
      </c>
      <c r="J149" s="103">
        <f t="shared" si="13"/>
        <v>1</v>
      </c>
      <c r="K149" s="103">
        <f t="shared" si="14"/>
        <v>1.0638297872340425</v>
      </c>
      <c r="L149" s="65">
        <f t="shared" si="15"/>
        <v>1</v>
      </c>
    </row>
    <row r="150" spans="1:12" x14ac:dyDescent="0.15">
      <c r="A150" s="68" t="s">
        <v>7</v>
      </c>
      <c r="B150" s="98" t="s">
        <v>190</v>
      </c>
      <c r="C150" s="99" t="s">
        <v>168</v>
      </c>
      <c r="D150" s="46" t="s">
        <v>238</v>
      </c>
      <c r="E150" s="181">
        <v>13</v>
      </c>
      <c r="F150" s="181">
        <v>0</v>
      </c>
      <c r="G150" s="181">
        <v>6</v>
      </c>
      <c r="H150" s="182">
        <v>0</v>
      </c>
      <c r="I150" s="103">
        <f t="shared" si="12"/>
        <v>1.1494252873563218</v>
      </c>
      <c r="J150" s="103">
        <f t="shared" si="13"/>
        <v>1</v>
      </c>
      <c r="K150" s="103">
        <f t="shared" si="14"/>
        <v>1.0638297872340425</v>
      </c>
      <c r="L150" s="65">
        <f t="shared" si="15"/>
        <v>1</v>
      </c>
    </row>
    <row r="151" spans="1:12" x14ac:dyDescent="0.15">
      <c r="A151" s="68" t="s">
        <v>7</v>
      </c>
      <c r="B151" s="98" t="s">
        <v>190</v>
      </c>
      <c r="C151" s="99" t="s">
        <v>169</v>
      </c>
      <c r="D151" s="46" t="s">
        <v>238</v>
      </c>
      <c r="E151" s="181">
        <v>13</v>
      </c>
      <c r="F151" s="181">
        <v>0</v>
      </c>
      <c r="G151" s="181">
        <v>6</v>
      </c>
      <c r="H151" s="182">
        <v>0</v>
      </c>
      <c r="I151" s="103">
        <f t="shared" si="12"/>
        <v>1.1494252873563218</v>
      </c>
      <c r="J151" s="103">
        <f t="shared" si="13"/>
        <v>1</v>
      </c>
      <c r="K151" s="103">
        <f t="shared" si="14"/>
        <v>1.0638297872340425</v>
      </c>
      <c r="L151" s="65">
        <f t="shared" si="15"/>
        <v>1</v>
      </c>
    </row>
    <row r="152" spans="1:12" x14ac:dyDescent="0.15">
      <c r="A152" s="68" t="s">
        <v>7</v>
      </c>
      <c r="B152" s="98" t="s">
        <v>190</v>
      </c>
      <c r="C152" s="99" t="s">
        <v>170</v>
      </c>
      <c r="D152" s="46" t="s">
        <v>238</v>
      </c>
      <c r="E152" s="181">
        <v>13</v>
      </c>
      <c r="F152" s="181">
        <v>0</v>
      </c>
      <c r="G152" s="181">
        <v>6</v>
      </c>
      <c r="H152" s="182">
        <v>0</v>
      </c>
      <c r="I152" s="103">
        <f t="shared" si="12"/>
        <v>1.1494252873563218</v>
      </c>
      <c r="J152" s="103">
        <f t="shared" si="13"/>
        <v>1</v>
      </c>
      <c r="K152" s="103">
        <f t="shared" si="14"/>
        <v>1.0638297872340425</v>
      </c>
      <c r="L152" s="65">
        <f t="shared" si="15"/>
        <v>1</v>
      </c>
    </row>
    <row r="153" spans="1:12" x14ac:dyDescent="0.15">
      <c r="A153" s="68" t="s">
        <v>7</v>
      </c>
      <c r="B153" s="98" t="s">
        <v>191</v>
      </c>
      <c r="C153" s="99" t="s">
        <v>171</v>
      </c>
      <c r="D153" s="46" t="s">
        <v>238</v>
      </c>
      <c r="E153" s="181">
        <v>13</v>
      </c>
      <c r="F153" s="181">
        <v>0</v>
      </c>
      <c r="G153" s="181">
        <v>6</v>
      </c>
      <c r="H153" s="182">
        <v>0</v>
      </c>
      <c r="I153" s="103">
        <f t="shared" si="12"/>
        <v>1.1494252873563218</v>
      </c>
      <c r="J153" s="103">
        <f t="shared" si="13"/>
        <v>1</v>
      </c>
      <c r="K153" s="103">
        <f t="shared" si="14"/>
        <v>1.0638297872340425</v>
      </c>
      <c r="L153" s="65">
        <f t="shared" si="15"/>
        <v>1</v>
      </c>
    </row>
    <row r="154" spans="1:12" x14ac:dyDescent="0.15">
      <c r="A154" s="68" t="s">
        <v>7</v>
      </c>
      <c r="B154" s="98" t="s">
        <v>191</v>
      </c>
      <c r="C154" s="99" t="s">
        <v>172</v>
      </c>
      <c r="D154" s="46" t="s">
        <v>238</v>
      </c>
      <c r="E154" s="181">
        <v>13</v>
      </c>
      <c r="F154" s="181">
        <v>0</v>
      </c>
      <c r="G154" s="181">
        <v>6</v>
      </c>
      <c r="H154" s="182">
        <v>0</v>
      </c>
      <c r="I154" s="103">
        <f t="shared" si="12"/>
        <v>1.1494252873563218</v>
      </c>
      <c r="J154" s="103">
        <f t="shared" si="13"/>
        <v>1</v>
      </c>
      <c r="K154" s="103">
        <f t="shared" si="14"/>
        <v>1.0638297872340425</v>
      </c>
      <c r="L154" s="65">
        <f t="shared" si="15"/>
        <v>1</v>
      </c>
    </row>
    <row r="155" spans="1:12" x14ac:dyDescent="0.15">
      <c r="A155" s="68" t="s">
        <v>7</v>
      </c>
      <c r="B155" s="98" t="s">
        <v>191</v>
      </c>
      <c r="C155" s="99" t="s">
        <v>173</v>
      </c>
      <c r="D155" s="46" t="s">
        <v>238</v>
      </c>
      <c r="E155" s="181">
        <v>13</v>
      </c>
      <c r="F155" s="181">
        <v>0</v>
      </c>
      <c r="G155" s="181">
        <v>6</v>
      </c>
      <c r="H155" s="182">
        <v>0</v>
      </c>
      <c r="I155" s="103">
        <f t="shared" si="12"/>
        <v>1.1494252873563218</v>
      </c>
      <c r="J155" s="103">
        <f t="shared" si="13"/>
        <v>1</v>
      </c>
      <c r="K155" s="103">
        <f t="shared" si="14"/>
        <v>1.0638297872340425</v>
      </c>
      <c r="L155" s="65">
        <f t="shared" si="15"/>
        <v>1</v>
      </c>
    </row>
    <row r="156" spans="1:12" x14ac:dyDescent="0.15">
      <c r="A156" s="68" t="s">
        <v>7</v>
      </c>
      <c r="B156" s="98" t="s">
        <v>191</v>
      </c>
      <c r="C156" s="99" t="s">
        <v>174</v>
      </c>
      <c r="D156" s="46" t="s">
        <v>238</v>
      </c>
      <c r="E156" s="181">
        <v>13</v>
      </c>
      <c r="F156" s="181">
        <v>0</v>
      </c>
      <c r="G156" s="181">
        <v>6</v>
      </c>
      <c r="H156" s="182">
        <v>0</v>
      </c>
      <c r="I156" s="103">
        <f t="shared" si="12"/>
        <v>1.1494252873563218</v>
      </c>
      <c r="J156" s="103">
        <f t="shared" si="13"/>
        <v>1</v>
      </c>
      <c r="K156" s="103">
        <f t="shared" si="14"/>
        <v>1.0638297872340425</v>
      </c>
      <c r="L156" s="65">
        <f t="shared" si="15"/>
        <v>1</v>
      </c>
    </row>
    <row r="157" spans="1:12" x14ac:dyDescent="0.15">
      <c r="A157" s="68" t="s">
        <v>7</v>
      </c>
      <c r="B157" s="98" t="s">
        <v>191</v>
      </c>
      <c r="C157" s="99" t="s">
        <v>175</v>
      </c>
      <c r="D157" s="46" t="s">
        <v>238</v>
      </c>
      <c r="E157" s="181">
        <v>13</v>
      </c>
      <c r="F157" s="181">
        <v>0</v>
      </c>
      <c r="G157" s="181">
        <v>6</v>
      </c>
      <c r="H157" s="182">
        <v>0</v>
      </c>
      <c r="I157" s="103">
        <f t="shared" si="12"/>
        <v>1.1494252873563218</v>
      </c>
      <c r="J157" s="103">
        <f t="shared" si="13"/>
        <v>1</v>
      </c>
      <c r="K157" s="103">
        <f t="shared" si="14"/>
        <v>1.0638297872340425</v>
      </c>
      <c r="L157" s="65">
        <f t="shared" si="15"/>
        <v>1</v>
      </c>
    </row>
    <row r="158" spans="1:12" x14ac:dyDescent="0.15">
      <c r="A158" s="68" t="s">
        <v>7</v>
      </c>
      <c r="B158" s="98" t="s">
        <v>192</v>
      </c>
      <c r="C158" s="99" t="s">
        <v>176</v>
      </c>
      <c r="D158" s="46" t="s">
        <v>238</v>
      </c>
      <c r="E158" s="181">
        <v>20</v>
      </c>
      <c r="F158" s="181">
        <v>0</v>
      </c>
      <c r="G158" s="181">
        <v>12</v>
      </c>
      <c r="H158" s="182">
        <v>0</v>
      </c>
      <c r="I158" s="103">
        <f t="shared" si="12"/>
        <v>1.1494252873563218</v>
      </c>
      <c r="J158" s="103">
        <f t="shared" si="13"/>
        <v>1</v>
      </c>
      <c r="K158" s="103">
        <f t="shared" si="14"/>
        <v>1.0638297872340425</v>
      </c>
      <c r="L158" s="65">
        <f t="shared" si="15"/>
        <v>1</v>
      </c>
    </row>
    <row r="159" spans="1:12" x14ac:dyDescent="0.15">
      <c r="A159" s="68" t="s">
        <v>7</v>
      </c>
      <c r="B159" s="98" t="s">
        <v>192</v>
      </c>
      <c r="C159" s="99" t="s">
        <v>177</v>
      </c>
      <c r="D159" s="46" t="s">
        <v>238</v>
      </c>
      <c r="E159" s="181">
        <v>20</v>
      </c>
      <c r="F159" s="181">
        <v>0</v>
      </c>
      <c r="G159" s="181">
        <v>12</v>
      </c>
      <c r="H159" s="182">
        <v>0</v>
      </c>
      <c r="I159" s="103">
        <f t="shared" si="12"/>
        <v>1.25</v>
      </c>
      <c r="J159" s="103">
        <f t="shared" si="13"/>
        <v>1</v>
      </c>
      <c r="K159" s="103">
        <f t="shared" si="14"/>
        <v>1.1363636363636365</v>
      </c>
      <c r="L159" s="65">
        <f t="shared" si="15"/>
        <v>1</v>
      </c>
    </row>
    <row r="160" spans="1:12" x14ac:dyDescent="0.15">
      <c r="A160" s="68" t="s">
        <v>7</v>
      </c>
      <c r="B160" s="98" t="s">
        <v>193</v>
      </c>
      <c r="C160" s="99" t="s">
        <v>178</v>
      </c>
      <c r="D160" s="46" t="s">
        <v>238</v>
      </c>
      <c r="E160" s="181">
        <v>20</v>
      </c>
      <c r="F160" s="181">
        <v>0</v>
      </c>
      <c r="G160" s="181">
        <v>12</v>
      </c>
      <c r="H160" s="182">
        <v>0</v>
      </c>
      <c r="I160" s="103">
        <f t="shared" si="12"/>
        <v>1.25</v>
      </c>
      <c r="J160" s="103">
        <f t="shared" si="13"/>
        <v>1</v>
      </c>
      <c r="K160" s="103">
        <f t="shared" si="14"/>
        <v>1.1363636363636365</v>
      </c>
      <c r="L160" s="65">
        <f t="shared" si="15"/>
        <v>1</v>
      </c>
    </row>
    <row r="161" spans="1:13" x14ac:dyDescent="0.15">
      <c r="A161" s="68" t="s">
        <v>7</v>
      </c>
      <c r="B161" s="98" t="s">
        <v>193</v>
      </c>
      <c r="C161" s="99" t="s">
        <v>179</v>
      </c>
      <c r="D161" s="46" t="s">
        <v>238</v>
      </c>
      <c r="E161" s="181">
        <v>20</v>
      </c>
      <c r="F161" s="181">
        <v>0</v>
      </c>
      <c r="G161" s="181">
        <v>12</v>
      </c>
      <c r="H161" s="182">
        <v>0</v>
      </c>
      <c r="I161" s="103">
        <f t="shared" si="12"/>
        <v>1.25</v>
      </c>
      <c r="J161" s="103">
        <f t="shared" si="13"/>
        <v>1</v>
      </c>
      <c r="K161" s="103">
        <f t="shared" si="14"/>
        <v>1.1363636363636365</v>
      </c>
      <c r="L161" s="65">
        <f t="shared" si="15"/>
        <v>1</v>
      </c>
    </row>
    <row r="162" spans="1:13" x14ac:dyDescent="0.15">
      <c r="A162" s="68" t="s">
        <v>7</v>
      </c>
      <c r="B162" s="98" t="s">
        <v>193</v>
      </c>
      <c r="C162" s="99" t="s">
        <v>175</v>
      </c>
      <c r="D162" s="46" t="s">
        <v>238</v>
      </c>
      <c r="E162" s="181">
        <v>20</v>
      </c>
      <c r="F162" s="181">
        <v>0</v>
      </c>
      <c r="G162" s="181">
        <v>12</v>
      </c>
      <c r="H162" s="182">
        <v>0</v>
      </c>
      <c r="I162" s="103">
        <f t="shared" si="12"/>
        <v>1.25</v>
      </c>
      <c r="J162" s="103">
        <f t="shared" si="13"/>
        <v>1</v>
      </c>
      <c r="K162" s="103">
        <f t="shared" si="14"/>
        <v>1.1363636363636365</v>
      </c>
      <c r="L162" s="65">
        <f t="shared" si="15"/>
        <v>1</v>
      </c>
    </row>
    <row r="163" spans="1:13" x14ac:dyDescent="0.15">
      <c r="A163" s="68" t="s">
        <v>7</v>
      </c>
      <c r="B163" s="98" t="s">
        <v>194</v>
      </c>
      <c r="C163" s="99" t="s">
        <v>180</v>
      </c>
      <c r="D163" s="46" t="s">
        <v>238</v>
      </c>
      <c r="E163" s="181">
        <v>20</v>
      </c>
      <c r="F163" s="181">
        <v>0</v>
      </c>
      <c r="G163" s="181">
        <v>12</v>
      </c>
      <c r="H163" s="182">
        <v>0</v>
      </c>
      <c r="I163" s="103">
        <f t="shared" si="12"/>
        <v>1.25</v>
      </c>
      <c r="J163" s="103">
        <f t="shared" si="13"/>
        <v>1</v>
      </c>
      <c r="K163" s="103">
        <f t="shared" si="14"/>
        <v>1.1363636363636365</v>
      </c>
      <c r="L163" s="65">
        <f t="shared" si="15"/>
        <v>1</v>
      </c>
    </row>
    <row r="164" spans="1:13" x14ac:dyDescent="0.15">
      <c r="A164" s="68" t="s">
        <v>7</v>
      </c>
      <c r="B164" s="98" t="s">
        <v>194</v>
      </c>
      <c r="C164" s="99" t="s">
        <v>181</v>
      </c>
      <c r="D164" s="46" t="s">
        <v>238</v>
      </c>
      <c r="E164" s="181">
        <v>20</v>
      </c>
      <c r="F164" s="181">
        <v>0</v>
      </c>
      <c r="G164" s="181">
        <v>12</v>
      </c>
      <c r="H164" s="182">
        <v>0</v>
      </c>
      <c r="I164" s="103">
        <f t="shared" si="12"/>
        <v>1.25</v>
      </c>
      <c r="J164" s="103">
        <f t="shared" si="13"/>
        <v>1</v>
      </c>
      <c r="K164" s="103">
        <f t="shared" si="14"/>
        <v>1.1363636363636365</v>
      </c>
      <c r="L164" s="65">
        <f t="shared" si="15"/>
        <v>1</v>
      </c>
    </row>
    <row r="165" spans="1:13" x14ac:dyDescent="0.15">
      <c r="A165" s="68" t="s">
        <v>7</v>
      </c>
      <c r="B165" s="98" t="s">
        <v>194</v>
      </c>
      <c r="C165" s="99" t="s">
        <v>182</v>
      </c>
      <c r="D165" s="46" t="s">
        <v>238</v>
      </c>
      <c r="E165" s="181">
        <v>20</v>
      </c>
      <c r="F165" s="181">
        <v>0</v>
      </c>
      <c r="G165" s="181">
        <v>12</v>
      </c>
      <c r="H165" s="182">
        <v>0</v>
      </c>
      <c r="I165" s="103">
        <f t="shared" si="12"/>
        <v>1.25</v>
      </c>
      <c r="J165" s="103">
        <f t="shared" si="13"/>
        <v>1</v>
      </c>
      <c r="K165" s="103">
        <f t="shared" si="14"/>
        <v>1.1363636363636365</v>
      </c>
      <c r="L165" s="65">
        <f t="shared" si="15"/>
        <v>1</v>
      </c>
    </row>
    <row r="166" spans="1:13" x14ac:dyDescent="0.15">
      <c r="A166" s="68" t="s">
        <v>7</v>
      </c>
      <c r="B166" s="98" t="s">
        <v>195</v>
      </c>
      <c r="C166" s="99" t="s">
        <v>183</v>
      </c>
      <c r="D166" s="46" t="s">
        <v>238</v>
      </c>
      <c r="E166" s="181">
        <v>1</v>
      </c>
      <c r="F166" s="181">
        <v>0</v>
      </c>
      <c r="G166" s="181">
        <v>1</v>
      </c>
      <c r="H166" s="182">
        <v>0</v>
      </c>
      <c r="I166" s="103">
        <f t="shared" si="12"/>
        <v>1.25</v>
      </c>
      <c r="J166" s="103">
        <f t="shared" si="13"/>
        <v>1</v>
      </c>
      <c r="K166" s="103">
        <f t="shared" si="14"/>
        <v>1.1363636363636365</v>
      </c>
      <c r="L166" s="65">
        <f t="shared" si="15"/>
        <v>1</v>
      </c>
    </row>
    <row r="167" spans="1:13" x14ac:dyDescent="0.15">
      <c r="A167" s="68" t="s">
        <v>7</v>
      </c>
      <c r="B167" s="98" t="s">
        <v>195</v>
      </c>
      <c r="C167" s="99" t="s">
        <v>184</v>
      </c>
      <c r="D167" s="46" t="s">
        <v>238</v>
      </c>
      <c r="E167" s="181">
        <v>1</v>
      </c>
      <c r="F167" s="181">
        <v>0</v>
      </c>
      <c r="G167" s="181">
        <v>1</v>
      </c>
      <c r="H167" s="182">
        <v>0</v>
      </c>
      <c r="I167" s="103">
        <f t="shared" si="12"/>
        <v>1.0101010101010102</v>
      </c>
      <c r="J167" s="103">
        <f t="shared" si="13"/>
        <v>1</v>
      </c>
      <c r="K167" s="103">
        <f t="shared" si="14"/>
        <v>1.0101010101010102</v>
      </c>
      <c r="L167" s="65">
        <f t="shared" si="15"/>
        <v>1</v>
      </c>
    </row>
    <row r="168" spans="1:13" x14ac:dyDescent="0.15">
      <c r="A168" s="68" t="s">
        <v>7</v>
      </c>
      <c r="B168" s="98" t="s">
        <v>195</v>
      </c>
      <c r="C168" s="99" t="s">
        <v>185</v>
      </c>
      <c r="D168" s="46" t="s">
        <v>238</v>
      </c>
      <c r="E168" s="181">
        <v>1</v>
      </c>
      <c r="F168" s="181">
        <v>0</v>
      </c>
      <c r="G168" s="181">
        <v>1</v>
      </c>
      <c r="H168" s="182">
        <v>0</v>
      </c>
      <c r="I168" s="103">
        <f t="shared" si="12"/>
        <v>1.0101010101010102</v>
      </c>
      <c r="J168" s="103">
        <f t="shared" si="13"/>
        <v>1</v>
      </c>
      <c r="K168" s="103">
        <f t="shared" si="14"/>
        <v>1.0101010101010102</v>
      </c>
      <c r="L168" s="65">
        <f t="shared" si="15"/>
        <v>1</v>
      </c>
    </row>
    <row r="169" spans="1:13" s="394" customFormat="1" ht="15" x14ac:dyDescent="0.15">
      <c r="A169" s="365" t="s">
        <v>720</v>
      </c>
      <c r="B169" s="390" t="s">
        <v>1022</v>
      </c>
      <c r="C169" s="397" t="s">
        <v>724</v>
      </c>
      <c r="D169" s="390"/>
      <c r="E169" s="391">
        <f>E143</f>
        <v>20</v>
      </c>
      <c r="F169" s="391">
        <f>F143</f>
        <v>0</v>
      </c>
      <c r="G169" s="391">
        <f>G143</f>
        <v>12</v>
      </c>
      <c r="H169" s="391">
        <f>H143</f>
        <v>0</v>
      </c>
      <c r="I169" s="392">
        <f t="shared" ref="I169:K169" si="16">(100/(100-E169))</f>
        <v>1.25</v>
      </c>
      <c r="J169" s="392">
        <f t="shared" si="16"/>
        <v>1</v>
      </c>
      <c r="K169" s="392">
        <f t="shared" si="16"/>
        <v>1.1363636363636365</v>
      </c>
      <c r="L169" s="393">
        <f>(100/(100-H169))</f>
        <v>1</v>
      </c>
    </row>
    <row r="170" spans="1:13" s="396" customFormat="1" ht="15" x14ac:dyDescent="0.15">
      <c r="A170" s="405" t="s">
        <v>723</v>
      </c>
      <c r="B170" s="399" t="s">
        <v>1023</v>
      </c>
      <c r="C170" s="400" t="s">
        <v>725</v>
      </c>
      <c r="D170" s="395"/>
      <c r="E170" s="401">
        <f>E171</f>
        <v>10</v>
      </c>
      <c r="F170" s="401">
        <f t="shared" ref="F170:L170" si="17">F171</f>
        <v>0</v>
      </c>
      <c r="G170" s="401">
        <f t="shared" si="17"/>
        <v>6</v>
      </c>
      <c r="H170" s="401">
        <f t="shared" si="17"/>
        <v>0</v>
      </c>
      <c r="I170" s="402">
        <f t="shared" si="17"/>
        <v>1.1111111111111112</v>
      </c>
      <c r="J170" s="402">
        <f t="shared" si="17"/>
        <v>1</v>
      </c>
      <c r="K170" s="403">
        <f t="shared" si="17"/>
        <v>1.0638297872340425</v>
      </c>
      <c r="L170" s="403">
        <f t="shared" si="17"/>
        <v>1</v>
      </c>
    </row>
    <row r="171" spans="1:13" x14ac:dyDescent="0.15">
      <c r="A171" s="68" t="s">
        <v>354</v>
      </c>
      <c r="B171" s="98" t="s">
        <v>94</v>
      </c>
      <c r="C171" s="98" t="s">
        <v>356</v>
      </c>
      <c r="D171" s="98" t="s">
        <v>355</v>
      </c>
      <c r="E171" s="102">
        <v>10</v>
      </c>
      <c r="F171" s="102">
        <v>0</v>
      </c>
      <c r="G171" s="102">
        <v>6</v>
      </c>
      <c r="H171" s="76">
        <v>0</v>
      </c>
      <c r="I171" s="173">
        <f t="shared" ref="I171:L172" si="18">(100/(100-E171))</f>
        <v>1.1111111111111112</v>
      </c>
      <c r="J171" s="103">
        <f t="shared" si="18"/>
        <v>1</v>
      </c>
      <c r="K171" s="103">
        <f t="shared" si="18"/>
        <v>1.0638297872340425</v>
      </c>
      <c r="L171" s="65">
        <f t="shared" si="18"/>
        <v>1</v>
      </c>
    </row>
    <row r="172" spans="1:13" x14ac:dyDescent="0.15">
      <c r="A172" s="68" t="s">
        <v>354</v>
      </c>
      <c r="B172" s="46" t="s">
        <v>95</v>
      </c>
      <c r="C172" s="315" t="s">
        <v>356</v>
      </c>
      <c r="D172" s="98" t="s">
        <v>355</v>
      </c>
      <c r="E172" s="102">
        <v>10</v>
      </c>
      <c r="F172" s="102">
        <v>0</v>
      </c>
      <c r="G172" s="102">
        <v>6</v>
      </c>
      <c r="H172" s="76">
        <v>0</v>
      </c>
      <c r="I172" s="103">
        <f t="shared" si="18"/>
        <v>1.1111111111111112</v>
      </c>
      <c r="J172" s="103">
        <f t="shared" si="18"/>
        <v>1</v>
      </c>
      <c r="K172" s="103">
        <f t="shared" si="18"/>
        <v>1.0638297872340425</v>
      </c>
      <c r="L172" s="65">
        <f t="shared" si="18"/>
        <v>1</v>
      </c>
      <c r="M172" s="15" t="s">
        <v>1024</v>
      </c>
    </row>
    <row r="173" spans="1:13" x14ac:dyDescent="0.15">
      <c r="A173" s="68" t="s">
        <v>354</v>
      </c>
      <c r="B173" s="98" t="s">
        <v>196</v>
      </c>
      <c r="C173" s="99" t="s">
        <v>356</v>
      </c>
      <c r="D173" s="46" t="s">
        <v>246</v>
      </c>
      <c r="E173" s="102">
        <v>32</v>
      </c>
      <c r="F173" s="102">
        <v>0</v>
      </c>
      <c r="G173" s="102">
        <v>4.3445646753032214</v>
      </c>
      <c r="H173" s="76">
        <v>33.099999999999994</v>
      </c>
      <c r="I173" s="103">
        <f t="shared" si="8"/>
        <v>1.4705882352941178</v>
      </c>
      <c r="J173" s="103">
        <f t="shared" si="9"/>
        <v>1</v>
      </c>
      <c r="K173" s="103">
        <f t="shared" si="10"/>
        <v>1.0454189002491687</v>
      </c>
      <c r="L173" s="65">
        <f t="shared" si="11"/>
        <v>1.4947683109118086</v>
      </c>
    </row>
    <row r="174" spans="1:13" x14ac:dyDescent="0.15">
      <c r="A174" s="68" t="s">
        <v>354</v>
      </c>
      <c r="B174" s="98" t="s">
        <v>197</v>
      </c>
      <c r="C174" s="99" t="s">
        <v>356</v>
      </c>
      <c r="D174" s="46" t="s">
        <v>246</v>
      </c>
      <c r="E174" s="102">
        <v>35</v>
      </c>
      <c r="F174" s="102">
        <v>0</v>
      </c>
      <c r="G174" s="102">
        <v>25.413600480927421</v>
      </c>
      <c r="H174" s="76">
        <v>31.499999999999993</v>
      </c>
      <c r="I174" s="103">
        <f t="shared" si="8"/>
        <v>1.5384615384615385</v>
      </c>
      <c r="J174" s="103">
        <f t="shared" si="9"/>
        <v>1</v>
      </c>
      <c r="K174" s="103">
        <f t="shared" si="10"/>
        <v>1.3407270044511113</v>
      </c>
      <c r="L174" s="65">
        <f t="shared" si="11"/>
        <v>1.4598540145985401</v>
      </c>
    </row>
    <row r="175" spans="1:13" x14ac:dyDescent="0.15">
      <c r="A175" s="68" t="s">
        <v>354</v>
      </c>
      <c r="B175" s="98" t="s">
        <v>198</v>
      </c>
      <c r="C175" s="99" t="s">
        <v>356</v>
      </c>
      <c r="D175" s="46" t="s">
        <v>246</v>
      </c>
      <c r="E175" s="102">
        <v>39</v>
      </c>
      <c r="F175" s="102">
        <v>0</v>
      </c>
      <c r="G175" s="102">
        <v>4.3566043468289699</v>
      </c>
      <c r="H175" s="76">
        <v>27.1</v>
      </c>
      <c r="I175" s="103">
        <f t="shared" si="8"/>
        <v>1.639344262295082</v>
      </c>
      <c r="J175" s="103">
        <f t="shared" si="9"/>
        <v>1</v>
      </c>
      <c r="K175" s="103">
        <f t="shared" si="10"/>
        <v>1.0455504984643917</v>
      </c>
      <c r="L175" s="65">
        <f t="shared" si="11"/>
        <v>1.371742112482853</v>
      </c>
    </row>
    <row r="176" spans="1:13" x14ac:dyDescent="0.15">
      <c r="A176" s="68" t="s">
        <v>354</v>
      </c>
      <c r="B176" s="98" t="s">
        <v>199</v>
      </c>
      <c r="C176" s="99" t="s">
        <v>356</v>
      </c>
      <c r="D176" s="46" t="s">
        <v>246</v>
      </c>
      <c r="E176" s="102">
        <v>36</v>
      </c>
      <c r="F176" s="102">
        <v>0</v>
      </c>
      <c r="G176" s="102">
        <v>12.299537242304687</v>
      </c>
      <c r="H176" s="76">
        <v>34.199999999999996</v>
      </c>
      <c r="I176" s="103">
        <f t="shared" si="8"/>
        <v>1.5625</v>
      </c>
      <c r="J176" s="103">
        <f t="shared" si="9"/>
        <v>1</v>
      </c>
      <c r="K176" s="103">
        <f t="shared" si="10"/>
        <v>1.1402448385738475</v>
      </c>
      <c r="L176" s="65">
        <f t="shared" si="11"/>
        <v>1.5197568389057747</v>
      </c>
    </row>
    <row r="177" spans="1:12" x14ac:dyDescent="0.15">
      <c r="A177" s="68" t="s">
        <v>354</v>
      </c>
      <c r="B177" s="98" t="s">
        <v>200</v>
      </c>
      <c r="C177" s="99" t="s">
        <v>356</v>
      </c>
      <c r="D177" s="46" t="s">
        <v>246</v>
      </c>
      <c r="E177" s="102">
        <v>40</v>
      </c>
      <c r="F177" s="102">
        <v>0</v>
      </c>
      <c r="G177" s="102">
        <v>3.971349721142257</v>
      </c>
      <c r="H177" s="76">
        <v>39.800000000000004</v>
      </c>
      <c r="I177" s="103">
        <f t="shared" si="8"/>
        <v>1.6666666666666667</v>
      </c>
      <c r="J177" s="103">
        <f t="shared" si="9"/>
        <v>1</v>
      </c>
      <c r="K177" s="103">
        <f t="shared" si="10"/>
        <v>1.0413558839951396</v>
      </c>
      <c r="L177" s="65">
        <f t="shared" si="11"/>
        <v>1.6611295681063125</v>
      </c>
    </row>
    <row r="178" spans="1:12" x14ac:dyDescent="0.15">
      <c r="A178" s="68" t="s">
        <v>354</v>
      </c>
      <c r="B178" s="98" t="s">
        <v>201</v>
      </c>
      <c r="C178" s="99" t="s">
        <v>356</v>
      </c>
      <c r="D178" s="46" t="s">
        <v>246</v>
      </c>
      <c r="E178" s="102">
        <v>32</v>
      </c>
      <c r="F178" s="102">
        <v>0</v>
      </c>
      <c r="G178" s="102">
        <v>3.4610124286581172</v>
      </c>
      <c r="H178" s="76">
        <v>20.999999999999996</v>
      </c>
      <c r="I178" s="103">
        <f t="shared" si="8"/>
        <v>1.4705882352941178</v>
      </c>
      <c r="J178" s="103">
        <f t="shared" si="9"/>
        <v>1</v>
      </c>
      <c r="K178" s="103">
        <f t="shared" si="10"/>
        <v>1.035850929409224</v>
      </c>
      <c r="L178" s="65">
        <f t="shared" si="11"/>
        <v>1.2658227848101267</v>
      </c>
    </row>
    <row r="179" spans="1:12" x14ac:dyDescent="0.15">
      <c r="A179" s="68" t="s">
        <v>354</v>
      </c>
      <c r="B179" s="98" t="s">
        <v>202</v>
      </c>
      <c r="C179" s="99" t="s">
        <v>1015</v>
      </c>
      <c r="D179" s="46" t="s">
        <v>247</v>
      </c>
      <c r="E179" s="102">
        <v>33</v>
      </c>
      <c r="F179" s="102">
        <v>0</v>
      </c>
      <c r="G179" s="102">
        <v>8.6962740709807385</v>
      </c>
      <c r="H179" s="76">
        <v>0</v>
      </c>
      <c r="I179" s="103">
        <f t="shared" si="8"/>
        <v>1.4925373134328359</v>
      </c>
      <c r="J179" s="103">
        <f t="shared" si="9"/>
        <v>1</v>
      </c>
      <c r="K179" s="103">
        <f t="shared" si="10"/>
        <v>1.0952455552333247</v>
      </c>
      <c r="L179" s="65">
        <f t="shared" si="11"/>
        <v>1</v>
      </c>
    </row>
    <row r="180" spans="1:12" x14ac:dyDescent="0.15">
      <c r="A180" s="68" t="s">
        <v>354</v>
      </c>
      <c r="B180" s="98" t="s">
        <v>204</v>
      </c>
      <c r="C180" s="99" t="s">
        <v>981</v>
      </c>
      <c r="D180" s="46" t="s">
        <v>247</v>
      </c>
      <c r="E180" s="102">
        <v>10</v>
      </c>
      <c r="F180" s="102">
        <v>0</v>
      </c>
      <c r="G180" s="102">
        <v>6</v>
      </c>
      <c r="H180" s="76">
        <v>0</v>
      </c>
      <c r="I180" s="103">
        <f t="shared" si="8"/>
        <v>1.1111111111111112</v>
      </c>
      <c r="J180" s="103">
        <f t="shared" si="9"/>
        <v>1</v>
      </c>
      <c r="K180" s="103">
        <f t="shared" si="10"/>
        <v>1.0638297872340425</v>
      </c>
      <c r="L180" s="65">
        <f t="shared" si="11"/>
        <v>1</v>
      </c>
    </row>
    <row r="181" spans="1:12" x14ac:dyDescent="0.15">
      <c r="A181" s="68" t="s">
        <v>354</v>
      </c>
      <c r="B181" s="98" t="s">
        <v>205</v>
      </c>
      <c r="C181" s="99" t="s">
        <v>981</v>
      </c>
      <c r="D181" s="46" t="s">
        <v>247</v>
      </c>
      <c r="E181" s="102">
        <v>10</v>
      </c>
      <c r="F181" s="102">
        <v>0</v>
      </c>
      <c r="G181" s="102">
        <v>6</v>
      </c>
      <c r="H181" s="76">
        <v>0</v>
      </c>
      <c r="I181" s="103">
        <f t="shared" si="8"/>
        <v>1.1111111111111112</v>
      </c>
      <c r="J181" s="103">
        <f t="shared" si="9"/>
        <v>1</v>
      </c>
      <c r="K181" s="103">
        <f t="shared" si="10"/>
        <v>1.0638297872340425</v>
      </c>
      <c r="L181" s="65">
        <f t="shared" si="11"/>
        <v>1</v>
      </c>
    </row>
    <row r="182" spans="1:12" x14ac:dyDescent="0.15">
      <c r="A182" s="68" t="s">
        <v>354</v>
      </c>
      <c r="B182" s="98" t="s">
        <v>206</v>
      </c>
      <c r="C182" s="99" t="s">
        <v>981</v>
      </c>
      <c r="D182" s="46" t="s">
        <v>247</v>
      </c>
      <c r="E182" s="102">
        <v>10</v>
      </c>
      <c r="F182" s="102">
        <v>0</v>
      </c>
      <c r="G182" s="102">
        <v>6</v>
      </c>
      <c r="H182" s="76">
        <v>0</v>
      </c>
      <c r="I182" s="103">
        <f t="shared" si="8"/>
        <v>1.1111111111111112</v>
      </c>
      <c r="J182" s="103">
        <f t="shared" si="9"/>
        <v>1</v>
      </c>
      <c r="K182" s="103">
        <f t="shared" si="10"/>
        <v>1.0638297872340425</v>
      </c>
      <c r="L182" s="65">
        <f t="shared" si="11"/>
        <v>1</v>
      </c>
    </row>
    <row r="183" spans="1:12" x14ac:dyDescent="0.15">
      <c r="A183" s="68" t="s">
        <v>354</v>
      </c>
      <c r="B183" s="98" t="s">
        <v>203</v>
      </c>
      <c r="C183" s="99" t="s">
        <v>981</v>
      </c>
      <c r="D183" s="46" t="s">
        <v>247</v>
      </c>
      <c r="E183" s="102">
        <v>33</v>
      </c>
      <c r="F183" s="102">
        <v>0</v>
      </c>
      <c r="G183" s="102">
        <v>9.2715907106718625</v>
      </c>
      <c r="H183" s="76">
        <v>0</v>
      </c>
      <c r="I183" s="103">
        <f t="shared" si="8"/>
        <v>1.4925373134328359</v>
      </c>
      <c r="J183" s="103">
        <f t="shared" si="9"/>
        <v>1</v>
      </c>
      <c r="K183" s="103">
        <f t="shared" si="10"/>
        <v>1.1021906014146599</v>
      </c>
      <c r="L183" s="65">
        <f t="shared" si="11"/>
        <v>1</v>
      </c>
    </row>
    <row r="184" spans="1:12" x14ac:dyDescent="0.15">
      <c r="A184" s="68" t="s">
        <v>354</v>
      </c>
      <c r="B184" s="98" t="s">
        <v>175</v>
      </c>
      <c r="C184" s="99" t="s">
        <v>981</v>
      </c>
      <c r="D184" s="46" t="s">
        <v>247</v>
      </c>
      <c r="E184" s="102">
        <v>19.2</v>
      </c>
      <c r="F184" s="102">
        <v>0</v>
      </c>
      <c r="G184" s="102">
        <v>7.1935729563305202</v>
      </c>
      <c r="H184" s="76">
        <v>0</v>
      </c>
      <c r="I184" s="103">
        <f t="shared" si="8"/>
        <v>1.2376237623762376</v>
      </c>
      <c r="J184" s="103">
        <f t="shared" si="9"/>
        <v>1</v>
      </c>
      <c r="K184" s="103">
        <f t="shared" si="10"/>
        <v>1.0775115817457945</v>
      </c>
      <c r="L184" s="65">
        <f t="shared" si="11"/>
        <v>1</v>
      </c>
    </row>
    <row r="185" spans="1:12" x14ac:dyDescent="0.15">
      <c r="A185" s="68" t="s">
        <v>354</v>
      </c>
      <c r="B185" s="98" t="s">
        <v>207</v>
      </c>
      <c r="C185" s="312" t="s">
        <v>207</v>
      </c>
      <c r="D185" s="46" t="s">
        <v>247</v>
      </c>
      <c r="E185" s="102">
        <v>10</v>
      </c>
      <c r="F185" s="102">
        <v>0</v>
      </c>
      <c r="G185" s="102">
        <v>6</v>
      </c>
      <c r="H185" s="76">
        <v>0</v>
      </c>
      <c r="I185" s="103">
        <f t="shared" si="8"/>
        <v>1.1111111111111112</v>
      </c>
      <c r="J185" s="103">
        <f t="shared" si="9"/>
        <v>1</v>
      </c>
      <c r="K185" s="103">
        <f t="shared" si="10"/>
        <v>1.0638297872340425</v>
      </c>
      <c r="L185" s="65">
        <f t="shared" si="11"/>
        <v>1</v>
      </c>
    </row>
    <row r="186" spans="1:12" x14ac:dyDescent="0.15">
      <c r="A186" s="68" t="s">
        <v>354</v>
      </c>
      <c r="B186" s="98" t="s">
        <v>208</v>
      </c>
      <c r="C186" s="312" t="s">
        <v>356</v>
      </c>
      <c r="D186" s="46" t="s">
        <v>244</v>
      </c>
      <c r="E186" s="102">
        <v>15</v>
      </c>
      <c r="F186" s="102">
        <v>12</v>
      </c>
      <c r="G186" s="102">
        <v>9</v>
      </c>
      <c r="H186" s="76">
        <v>1.5000000000000013</v>
      </c>
      <c r="I186" s="103">
        <f t="shared" si="8"/>
        <v>1.1764705882352942</v>
      </c>
      <c r="J186" s="103">
        <f t="shared" si="9"/>
        <v>1.1363636363636365</v>
      </c>
      <c r="K186" s="103">
        <f t="shared" si="10"/>
        <v>1.098901098901099</v>
      </c>
      <c r="L186" s="65">
        <f t="shared" si="11"/>
        <v>1.015228426395939</v>
      </c>
    </row>
    <row r="187" spans="1:12" x14ac:dyDescent="0.15">
      <c r="A187" s="68" t="s">
        <v>354</v>
      </c>
      <c r="B187" s="98" t="s">
        <v>209</v>
      </c>
      <c r="C187" s="99" t="s">
        <v>1016</v>
      </c>
      <c r="D187" s="46" t="s">
        <v>248</v>
      </c>
      <c r="E187" s="102">
        <v>10</v>
      </c>
      <c r="F187" s="102">
        <v>0</v>
      </c>
      <c r="G187" s="102">
        <v>6</v>
      </c>
      <c r="H187" s="76">
        <v>0</v>
      </c>
      <c r="I187" s="103">
        <f t="shared" si="8"/>
        <v>1.1111111111111112</v>
      </c>
      <c r="J187" s="103">
        <f t="shared" si="9"/>
        <v>1</v>
      </c>
      <c r="K187" s="103">
        <f t="shared" si="10"/>
        <v>1.0638297872340425</v>
      </c>
      <c r="L187" s="65">
        <f t="shared" si="11"/>
        <v>1</v>
      </c>
    </row>
    <row r="188" spans="1:12" x14ac:dyDescent="0.15">
      <c r="A188" s="68" t="s">
        <v>354</v>
      </c>
      <c r="B188" s="98" t="s">
        <v>210</v>
      </c>
      <c r="C188" s="99" t="s">
        <v>1016</v>
      </c>
      <c r="D188" s="46" t="s">
        <v>249</v>
      </c>
      <c r="E188" s="102">
        <v>10</v>
      </c>
      <c r="F188" s="102">
        <v>0</v>
      </c>
      <c r="G188" s="102">
        <v>6</v>
      </c>
      <c r="H188" s="76">
        <v>0</v>
      </c>
      <c r="I188" s="103">
        <f t="shared" si="8"/>
        <v>1.1111111111111112</v>
      </c>
      <c r="J188" s="103">
        <f t="shared" si="9"/>
        <v>1</v>
      </c>
      <c r="K188" s="103">
        <f t="shared" si="10"/>
        <v>1.0638297872340425</v>
      </c>
      <c r="L188" s="65">
        <f t="shared" si="11"/>
        <v>1</v>
      </c>
    </row>
    <row r="189" spans="1:12" x14ac:dyDescent="0.15">
      <c r="A189" s="68" t="s">
        <v>354</v>
      </c>
      <c r="B189" s="98" t="s">
        <v>211</v>
      </c>
      <c r="C189" s="99" t="s">
        <v>1016</v>
      </c>
      <c r="D189" s="46" t="s">
        <v>248</v>
      </c>
      <c r="E189" s="102">
        <v>10</v>
      </c>
      <c r="F189" s="102">
        <v>0</v>
      </c>
      <c r="G189" s="102">
        <v>6</v>
      </c>
      <c r="H189" s="76">
        <v>0</v>
      </c>
      <c r="I189" s="103">
        <f t="shared" si="8"/>
        <v>1.1111111111111112</v>
      </c>
      <c r="J189" s="103">
        <f t="shared" si="9"/>
        <v>1</v>
      </c>
      <c r="K189" s="103">
        <f t="shared" si="10"/>
        <v>1.0638297872340425</v>
      </c>
      <c r="L189" s="65">
        <f t="shared" si="11"/>
        <v>1</v>
      </c>
    </row>
    <row r="190" spans="1:12" x14ac:dyDescent="0.15">
      <c r="A190" s="68" t="s">
        <v>354</v>
      </c>
      <c r="B190" s="98" t="s">
        <v>212</v>
      </c>
      <c r="C190" s="99" t="s">
        <v>1016</v>
      </c>
      <c r="D190" s="46" t="s">
        <v>248</v>
      </c>
      <c r="E190" s="102">
        <v>10</v>
      </c>
      <c r="F190" s="102">
        <v>0</v>
      </c>
      <c r="G190" s="102">
        <v>6</v>
      </c>
      <c r="H190" s="76">
        <v>0</v>
      </c>
      <c r="I190" s="103">
        <f t="shared" si="8"/>
        <v>1.1111111111111112</v>
      </c>
      <c r="J190" s="103">
        <f t="shared" si="9"/>
        <v>1</v>
      </c>
      <c r="K190" s="103">
        <f t="shared" si="10"/>
        <v>1.0638297872340425</v>
      </c>
      <c r="L190" s="65">
        <f t="shared" si="11"/>
        <v>1</v>
      </c>
    </row>
    <row r="191" spans="1:12" x14ac:dyDescent="0.15">
      <c r="A191" s="68" t="s">
        <v>354</v>
      </c>
      <c r="B191" s="98" t="s">
        <v>213</v>
      </c>
      <c r="C191" s="99" t="s">
        <v>1016</v>
      </c>
      <c r="D191" s="46" t="s">
        <v>248</v>
      </c>
      <c r="E191" s="102">
        <v>10</v>
      </c>
      <c r="F191" s="102">
        <v>0</v>
      </c>
      <c r="G191" s="102">
        <v>6</v>
      </c>
      <c r="H191" s="76">
        <v>0</v>
      </c>
      <c r="I191" s="103">
        <f t="shared" si="8"/>
        <v>1.1111111111111112</v>
      </c>
      <c r="J191" s="103">
        <f t="shared" si="9"/>
        <v>1</v>
      </c>
      <c r="K191" s="103">
        <f t="shared" si="10"/>
        <v>1.0638297872340425</v>
      </c>
      <c r="L191" s="65">
        <f t="shared" si="11"/>
        <v>1</v>
      </c>
    </row>
    <row r="192" spans="1:12" x14ac:dyDescent="0.15">
      <c r="A192" s="68" t="s">
        <v>354</v>
      </c>
      <c r="B192" s="98" t="s">
        <v>214</v>
      </c>
      <c r="C192" s="99" t="s">
        <v>1016</v>
      </c>
      <c r="D192" s="46" t="s">
        <v>248</v>
      </c>
      <c r="E192" s="102">
        <v>10</v>
      </c>
      <c r="F192" s="102">
        <v>0</v>
      </c>
      <c r="G192" s="102">
        <v>6</v>
      </c>
      <c r="H192" s="76">
        <v>0</v>
      </c>
      <c r="I192" s="103">
        <f t="shared" si="8"/>
        <v>1.1111111111111112</v>
      </c>
      <c r="J192" s="103">
        <f t="shared" si="9"/>
        <v>1</v>
      </c>
      <c r="K192" s="103">
        <f t="shared" si="10"/>
        <v>1.0638297872340425</v>
      </c>
      <c r="L192" s="65">
        <f t="shared" si="11"/>
        <v>1</v>
      </c>
    </row>
    <row r="193" spans="1:13" x14ac:dyDescent="0.15">
      <c r="A193" s="68" t="s">
        <v>354</v>
      </c>
      <c r="B193" s="98" t="s">
        <v>215</v>
      </c>
      <c r="C193" s="99" t="s">
        <v>1016</v>
      </c>
      <c r="D193" s="46" t="s">
        <v>248</v>
      </c>
      <c r="E193" s="102">
        <v>10</v>
      </c>
      <c r="F193" s="102">
        <v>0</v>
      </c>
      <c r="G193" s="102">
        <v>6</v>
      </c>
      <c r="H193" s="76">
        <v>0</v>
      </c>
      <c r="I193" s="103">
        <f t="shared" si="8"/>
        <v>1.1111111111111112</v>
      </c>
      <c r="J193" s="103">
        <f t="shared" si="9"/>
        <v>1</v>
      </c>
      <c r="K193" s="103">
        <f t="shared" si="10"/>
        <v>1.0638297872340425</v>
      </c>
      <c r="L193" s="65">
        <f t="shared" si="11"/>
        <v>1</v>
      </c>
    </row>
    <row r="194" spans="1:13" x14ac:dyDescent="0.15">
      <c r="A194" s="68" t="s">
        <v>354</v>
      </c>
      <c r="B194" s="98" t="s">
        <v>216</v>
      </c>
      <c r="C194" s="99" t="s">
        <v>1016</v>
      </c>
      <c r="D194" s="46" t="s">
        <v>248</v>
      </c>
      <c r="E194" s="102">
        <v>10</v>
      </c>
      <c r="F194" s="102">
        <v>0</v>
      </c>
      <c r="G194" s="102">
        <v>6</v>
      </c>
      <c r="H194" s="76">
        <v>0</v>
      </c>
      <c r="I194" s="103">
        <f t="shared" si="8"/>
        <v>1.1111111111111112</v>
      </c>
      <c r="J194" s="103">
        <f t="shared" si="9"/>
        <v>1</v>
      </c>
      <c r="K194" s="103">
        <f t="shared" si="10"/>
        <v>1.0638297872340425</v>
      </c>
      <c r="L194" s="65">
        <f t="shared" si="11"/>
        <v>1</v>
      </c>
    </row>
    <row r="195" spans="1:13" x14ac:dyDescent="0.15">
      <c r="A195" s="68" t="s">
        <v>354</v>
      </c>
      <c r="B195" s="98" t="s">
        <v>217</v>
      </c>
      <c r="C195" s="99" t="s">
        <v>1016</v>
      </c>
      <c r="D195" s="46" t="s">
        <v>248</v>
      </c>
      <c r="E195" s="102">
        <v>10</v>
      </c>
      <c r="F195" s="102">
        <v>0</v>
      </c>
      <c r="G195" s="102">
        <v>6</v>
      </c>
      <c r="H195" s="76">
        <v>0</v>
      </c>
      <c r="I195" s="173">
        <f t="shared" si="8"/>
        <v>1.1111111111111112</v>
      </c>
      <c r="J195" s="103">
        <f t="shared" si="9"/>
        <v>1</v>
      </c>
      <c r="K195" s="103">
        <f t="shared" si="10"/>
        <v>1.0638297872340425</v>
      </c>
      <c r="L195" s="65">
        <f t="shared" si="11"/>
        <v>1</v>
      </c>
    </row>
    <row r="196" spans="1:13" x14ac:dyDescent="0.15">
      <c r="A196" s="162" t="s">
        <v>390</v>
      </c>
      <c r="B196" s="152"/>
      <c r="C196" s="178"/>
      <c r="D196" s="152"/>
      <c r="E196" s="175"/>
      <c r="F196" s="175"/>
      <c r="G196" s="175"/>
      <c r="H196" s="175"/>
      <c r="I196" s="176"/>
      <c r="J196" s="176"/>
      <c r="K196" s="176"/>
      <c r="L196" s="180"/>
    </row>
    <row r="197" spans="1:13" s="310" customFormat="1" ht="15" x14ac:dyDescent="0.15">
      <c r="A197" s="164" t="s">
        <v>8</v>
      </c>
      <c r="B197" s="309" t="s">
        <v>1025</v>
      </c>
      <c r="C197" s="183"/>
      <c r="D197" s="309" t="s">
        <v>238</v>
      </c>
      <c r="E197" s="184">
        <v>15</v>
      </c>
      <c r="F197" s="181">
        <v>0</v>
      </c>
      <c r="G197" s="181">
        <v>7</v>
      </c>
      <c r="H197" s="182">
        <f>100-80.3</f>
        <v>19.700000000000003</v>
      </c>
      <c r="I197" s="186">
        <f t="shared" si="8"/>
        <v>1.1764705882352942</v>
      </c>
      <c r="J197" s="186">
        <f t="shared" si="9"/>
        <v>1</v>
      </c>
      <c r="K197" s="186">
        <f t="shared" si="10"/>
        <v>1.075268817204301</v>
      </c>
      <c r="L197" s="94">
        <f t="shared" si="11"/>
        <v>1.2453300124533002</v>
      </c>
      <c r="M197" s="311"/>
    </row>
    <row r="198" spans="1:13" s="310" customFormat="1" x14ac:dyDescent="0.15">
      <c r="A198" s="164" t="s">
        <v>8</v>
      </c>
      <c r="B198" s="309" t="s">
        <v>219</v>
      </c>
      <c r="C198" s="183"/>
      <c r="D198" s="309" t="s">
        <v>238</v>
      </c>
      <c r="E198" s="184">
        <v>15</v>
      </c>
      <c r="F198" s="181">
        <v>0</v>
      </c>
      <c r="G198" s="181">
        <v>7</v>
      </c>
      <c r="H198" s="182">
        <v>0</v>
      </c>
      <c r="I198" s="186">
        <f t="shared" si="8"/>
        <v>1.1764705882352942</v>
      </c>
      <c r="J198" s="186">
        <f t="shared" si="9"/>
        <v>1</v>
      </c>
      <c r="K198" s="186">
        <f t="shared" si="10"/>
        <v>1.075268817204301</v>
      </c>
      <c r="L198" s="94">
        <f t="shared" si="11"/>
        <v>1</v>
      </c>
    </row>
    <row r="199" spans="1:13" s="310" customFormat="1" x14ac:dyDescent="0.15">
      <c r="A199" s="164" t="s">
        <v>8</v>
      </c>
      <c r="B199" s="309" t="s">
        <v>220</v>
      </c>
      <c r="C199" s="183"/>
      <c r="D199" s="309" t="s">
        <v>238</v>
      </c>
      <c r="E199" s="184">
        <v>0</v>
      </c>
      <c r="F199" s="181">
        <v>0</v>
      </c>
      <c r="G199" s="181">
        <v>50</v>
      </c>
      <c r="H199" s="182">
        <v>0</v>
      </c>
      <c r="I199" s="186">
        <f t="shared" si="8"/>
        <v>1</v>
      </c>
      <c r="J199" s="186">
        <f t="shared" si="9"/>
        <v>1</v>
      </c>
      <c r="K199" s="186">
        <f t="shared" si="10"/>
        <v>2</v>
      </c>
      <c r="L199" s="94">
        <f t="shared" si="11"/>
        <v>1</v>
      </c>
    </row>
    <row r="200" spans="1:13" s="310" customFormat="1" x14ac:dyDescent="0.15">
      <c r="A200" s="164" t="s">
        <v>8</v>
      </c>
      <c r="B200" s="309" t="s">
        <v>221</v>
      </c>
      <c r="C200" s="183"/>
      <c r="D200" s="309" t="s">
        <v>238</v>
      </c>
      <c r="E200" s="184">
        <v>0</v>
      </c>
      <c r="F200" s="181">
        <v>0</v>
      </c>
      <c r="G200" s="181">
        <v>50</v>
      </c>
      <c r="H200" s="182">
        <v>0</v>
      </c>
      <c r="I200" s="186">
        <f t="shared" si="8"/>
        <v>1</v>
      </c>
      <c r="J200" s="186">
        <f t="shared" si="9"/>
        <v>1</v>
      </c>
      <c r="K200" s="186">
        <f t="shared" si="10"/>
        <v>2</v>
      </c>
      <c r="L200" s="94">
        <f t="shared" si="11"/>
        <v>1</v>
      </c>
    </row>
    <row r="201" spans="1:13" s="310" customFormat="1" x14ac:dyDescent="0.15">
      <c r="A201" s="164" t="s">
        <v>8</v>
      </c>
      <c r="B201" s="309" t="s">
        <v>222</v>
      </c>
      <c r="C201" s="183"/>
      <c r="D201" s="309" t="s">
        <v>238</v>
      </c>
      <c r="E201" s="184">
        <v>15</v>
      </c>
      <c r="F201" s="181">
        <v>0</v>
      </c>
      <c r="G201" s="181">
        <v>21</v>
      </c>
      <c r="H201" s="182">
        <v>0</v>
      </c>
      <c r="I201" s="186">
        <f t="shared" si="8"/>
        <v>1.1764705882352942</v>
      </c>
      <c r="J201" s="186">
        <f t="shared" si="9"/>
        <v>1</v>
      </c>
      <c r="K201" s="186">
        <f t="shared" si="10"/>
        <v>1.2658227848101267</v>
      </c>
      <c r="L201" s="94">
        <f t="shared" si="11"/>
        <v>1</v>
      </c>
    </row>
    <row r="202" spans="1:13" s="310" customFormat="1" x14ac:dyDescent="0.15">
      <c r="A202" s="164" t="s">
        <v>8</v>
      </c>
      <c r="B202" s="309" t="s">
        <v>223</v>
      </c>
      <c r="C202" s="183"/>
      <c r="D202" s="309" t="s">
        <v>238</v>
      </c>
      <c r="E202" s="184">
        <v>20</v>
      </c>
      <c r="F202" s="181">
        <v>0</v>
      </c>
      <c r="G202" s="181">
        <v>21</v>
      </c>
      <c r="H202" s="182">
        <v>0</v>
      </c>
      <c r="I202" s="186">
        <f t="shared" si="8"/>
        <v>1.25</v>
      </c>
      <c r="J202" s="186">
        <f t="shared" si="9"/>
        <v>1</v>
      </c>
      <c r="K202" s="186">
        <f t="shared" si="10"/>
        <v>1.2658227848101267</v>
      </c>
      <c r="L202" s="94">
        <f t="shared" si="11"/>
        <v>1</v>
      </c>
    </row>
    <row r="203" spans="1:13" s="310" customFormat="1" x14ac:dyDescent="0.15">
      <c r="A203" s="164" t="s">
        <v>8</v>
      </c>
      <c r="B203" s="309" t="s">
        <v>224</v>
      </c>
      <c r="C203" s="183"/>
      <c r="D203" s="309" t="s">
        <v>238</v>
      </c>
      <c r="E203" s="184">
        <v>0</v>
      </c>
      <c r="F203" s="181">
        <v>0</v>
      </c>
      <c r="G203" s="181">
        <v>5</v>
      </c>
      <c r="H203" s="182">
        <v>0</v>
      </c>
      <c r="I203" s="186">
        <f t="shared" si="8"/>
        <v>1</v>
      </c>
      <c r="J203" s="186">
        <f t="shared" si="9"/>
        <v>1</v>
      </c>
      <c r="K203" s="186">
        <f t="shared" si="10"/>
        <v>1.0526315789473684</v>
      </c>
      <c r="L203" s="94">
        <f t="shared" si="11"/>
        <v>1</v>
      </c>
    </row>
    <row r="204" spans="1:13" s="310" customFormat="1" ht="15" x14ac:dyDescent="0.15">
      <c r="A204" s="164" t="s">
        <v>8</v>
      </c>
      <c r="B204" s="309" t="s">
        <v>1026</v>
      </c>
      <c r="C204" s="183"/>
      <c r="D204" s="309" t="s">
        <v>238</v>
      </c>
      <c r="E204" s="184">
        <v>20</v>
      </c>
      <c r="F204" s="181">
        <v>0</v>
      </c>
      <c r="G204" s="181">
        <v>12</v>
      </c>
      <c r="H204" s="182">
        <f>100-18.84</f>
        <v>81.16</v>
      </c>
      <c r="I204" s="186">
        <f t="shared" si="8"/>
        <v>1.25</v>
      </c>
      <c r="J204" s="186">
        <f t="shared" si="9"/>
        <v>1</v>
      </c>
      <c r="K204" s="186">
        <f t="shared" si="10"/>
        <v>1.1363636363636365</v>
      </c>
      <c r="L204" s="94">
        <f t="shared" si="11"/>
        <v>5.3078556263269627</v>
      </c>
      <c r="M204" s="311"/>
    </row>
    <row r="205" spans="1:13" s="310" customFormat="1" ht="15" x14ac:dyDescent="0.15">
      <c r="A205" s="164" t="s">
        <v>8</v>
      </c>
      <c r="B205" s="309" t="s">
        <v>1027</v>
      </c>
      <c r="C205" s="183"/>
      <c r="D205" s="309" t="s">
        <v>238</v>
      </c>
      <c r="E205" s="184">
        <v>20</v>
      </c>
      <c r="F205" s="181">
        <v>0</v>
      </c>
      <c r="G205" s="181">
        <v>12</v>
      </c>
      <c r="H205" s="182">
        <f>100-10.91</f>
        <v>89.09</v>
      </c>
      <c r="I205" s="186">
        <f t="shared" si="8"/>
        <v>1.25</v>
      </c>
      <c r="J205" s="186">
        <f t="shared" si="9"/>
        <v>1</v>
      </c>
      <c r="K205" s="186">
        <f t="shared" si="10"/>
        <v>1.1363636363636365</v>
      </c>
      <c r="L205" s="94">
        <f t="shared" si="11"/>
        <v>9.1659028414298831</v>
      </c>
      <c r="M205" s="311"/>
    </row>
    <row r="206" spans="1:13" s="310" customFormat="1" ht="15" x14ac:dyDescent="0.15">
      <c r="A206" s="164" t="s">
        <v>8</v>
      </c>
      <c r="B206" s="309" t="s">
        <v>1028</v>
      </c>
      <c r="C206" s="183"/>
      <c r="D206" s="309" t="s">
        <v>238</v>
      </c>
      <c r="E206" s="184">
        <v>20</v>
      </c>
      <c r="F206" s="181">
        <v>0</v>
      </c>
      <c r="G206" s="181">
        <v>12</v>
      </c>
      <c r="H206" s="182">
        <f>100-35.86</f>
        <v>64.14</v>
      </c>
      <c r="I206" s="186">
        <f t="shared" si="8"/>
        <v>1.25</v>
      </c>
      <c r="J206" s="186">
        <f t="shared" si="9"/>
        <v>1</v>
      </c>
      <c r="K206" s="186">
        <f t="shared" si="10"/>
        <v>1.1363636363636365</v>
      </c>
      <c r="L206" s="94">
        <f t="shared" si="11"/>
        <v>2.7886224205242609</v>
      </c>
      <c r="M206" s="311"/>
    </row>
    <row r="207" spans="1:13" s="310" customFormat="1" ht="15" x14ac:dyDescent="0.15">
      <c r="A207" s="164" t="s">
        <v>8</v>
      </c>
      <c r="B207" s="309" t="s">
        <v>1029</v>
      </c>
      <c r="C207" s="183"/>
      <c r="D207" s="309" t="s">
        <v>238</v>
      </c>
      <c r="E207" s="184">
        <v>20</v>
      </c>
      <c r="F207" s="181">
        <v>0</v>
      </c>
      <c r="G207" s="181">
        <v>12</v>
      </c>
      <c r="H207" s="182">
        <f>100-17.31</f>
        <v>82.69</v>
      </c>
      <c r="I207" s="186">
        <f t="shared" si="8"/>
        <v>1.25</v>
      </c>
      <c r="J207" s="186">
        <f t="shared" si="9"/>
        <v>1</v>
      </c>
      <c r="K207" s="186">
        <f t="shared" si="10"/>
        <v>1.1363636363636365</v>
      </c>
      <c r="L207" s="94">
        <f t="shared" si="11"/>
        <v>5.7770075101097627</v>
      </c>
      <c r="M207" s="311"/>
    </row>
    <row r="208" spans="1:13" s="310" customFormat="1" ht="15" x14ac:dyDescent="0.15">
      <c r="A208" s="164" t="s">
        <v>8</v>
      </c>
      <c r="B208" s="309" t="s">
        <v>1030</v>
      </c>
      <c r="C208" s="183"/>
      <c r="D208" s="309" t="s">
        <v>238</v>
      </c>
      <c r="E208" s="184">
        <v>20</v>
      </c>
      <c r="F208" s="181">
        <v>0</v>
      </c>
      <c r="G208" s="181">
        <v>12</v>
      </c>
      <c r="H208" s="182">
        <f>100-33</f>
        <v>67</v>
      </c>
      <c r="I208" s="186">
        <f t="shared" si="8"/>
        <v>1.25</v>
      </c>
      <c r="J208" s="186">
        <f t="shared" si="9"/>
        <v>1</v>
      </c>
      <c r="K208" s="186">
        <f t="shared" si="10"/>
        <v>1.1363636363636365</v>
      </c>
      <c r="L208" s="94">
        <f t="shared" si="11"/>
        <v>3.0303030303030303</v>
      </c>
      <c r="M208" s="311"/>
    </row>
    <row r="209" spans="1:13" s="310" customFormat="1" ht="15" x14ac:dyDescent="0.15">
      <c r="A209" s="164" t="s">
        <v>8</v>
      </c>
      <c r="B209" s="309" t="s">
        <v>1031</v>
      </c>
      <c r="C209" s="183"/>
      <c r="D209" s="309" t="s">
        <v>238</v>
      </c>
      <c r="E209" s="184">
        <v>20</v>
      </c>
      <c r="F209" s="181">
        <v>0</v>
      </c>
      <c r="G209" s="181">
        <v>12</v>
      </c>
      <c r="H209" s="182">
        <f>100-7.61</f>
        <v>92.39</v>
      </c>
      <c r="I209" s="187">
        <f t="shared" si="8"/>
        <v>1.25</v>
      </c>
      <c r="J209" s="186">
        <f t="shared" si="9"/>
        <v>1</v>
      </c>
      <c r="K209" s="186">
        <f t="shared" si="10"/>
        <v>1.1363636363636365</v>
      </c>
      <c r="L209" s="94">
        <f t="shared" si="11"/>
        <v>13.14060446780552</v>
      </c>
      <c r="M209" s="311"/>
    </row>
    <row r="210" spans="1:13" x14ac:dyDescent="0.15">
      <c r="A210" s="162" t="s">
        <v>394</v>
      </c>
      <c r="B210" s="152"/>
      <c r="C210" s="178"/>
      <c r="D210" s="152"/>
      <c r="E210" s="179"/>
      <c r="F210" s="175"/>
      <c r="G210" s="175"/>
      <c r="H210" s="175"/>
      <c r="I210" s="176"/>
      <c r="J210" s="176"/>
      <c r="K210" s="176"/>
      <c r="L210" s="180"/>
      <c r="M210" s="15"/>
    </row>
    <row r="211" spans="1:13" x14ac:dyDescent="0.15">
      <c r="A211" s="68" t="s">
        <v>9</v>
      </c>
      <c r="B211" s="98" t="s">
        <v>229</v>
      </c>
      <c r="C211" s="99" t="s">
        <v>63</v>
      </c>
      <c r="D211" s="46" t="s">
        <v>250</v>
      </c>
      <c r="E211" s="102">
        <v>20</v>
      </c>
      <c r="F211" s="102">
        <v>0</v>
      </c>
      <c r="G211" s="102">
        <v>11</v>
      </c>
      <c r="H211" s="76">
        <v>0</v>
      </c>
      <c r="I211" s="103">
        <f t="shared" si="8"/>
        <v>1.25</v>
      </c>
      <c r="J211" s="103">
        <f t="shared" si="9"/>
        <v>1</v>
      </c>
      <c r="K211" s="103">
        <f t="shared" si="10"/>
        <v>1.1235955056179776</v>
      </c>
      <c r="L211" s="65">
        <f t="shared" si="11"/>
        <v>1</v>
      </c>
    </row>
    <row r="212" spans="1:13" x14ac:dyDescent="0.15">
      <c r="A212" s="68" t="s">
        <v>9</v>
      </c>
      <c r="B212" s="98" t="s">
        <v>230</v>
      </c>
      <c r="C212" s="99" t="s">
        <v>63</v>
      </c>
      <c r="D212" s="46" t="s">
        <v>250</v>
      </c>
      <c r="E212" s="102">
        <v>20</v>
      </c>
      <c r="F212" s="102">
        <v>0</v>
      </c>
      <c r="G212" s="102">
        <v>11</v>
      </c>
      <c r="H212" s="76">
        <v>0</v>
      </c>
      <c r="I212" s="103">
        <f t="shared" si="8"/>
        <v>1.25</v>
      </c>
      <c r="J212" s="103">
        <f t="shared" si="9"/>
        <v>1</v>
      </c>
      <c r="K212" s="103">
        <f t="shared" si="10"/>
        <v>1.1235955056179776</v>
      </c>
      <c r="L212" s="65">
        <f t="shared" si="11"/>
        <v>1</v>
      </c>
    </row>
    <row r="213" spans="1:13" x14ac:dyDescent="0.15">
      <c r="A213" s="68" t="s">
        <v>9</v>
      </c>
      <c r="B213" s="98" t="s">
        <v>231</v>
      </c>
      <c r="C213" s="99" t="s">
        <v>63</v>
      </c>
      <c r="D213" s="46" t="s">
        <v>250</v>
      </c>
      <c r="E213" s="102">
        <v>20</v>
      </c>
      <c r="F213" s="102">
        <v>0</v>
      </c>
      <c r="G213" s="102">
        <v>11</v>
      </c>
      <c r="H213" s="76">
        <v>0</v>
      </c>
      <c r="I213" s="103">
        <f t="shared" ref="I213:L216" si="19">(100/(100-E213))</f>
        <v>1.25</v>
      </c>
      <c r="J213" s="103">
        <f t="shared" si="19"/>
        <v>1</v>
      </c>
      <c r="K213" s="103">
        <f t="shared" si="19"/>
        <v>1.1235955056179776</v>
      </c>
      <c r="L213" s="65">
        <f t="shared" si="19"/>
        <v>1</v>
      </c>
    </row>
    <row r="214" spans="1:13" x14ac:dyDescent="0.15">
      <c r="A214" s="68" t="s">
        <v>9</v>
      </c>
      <c r="B214" s="98" t="s">
        <v>232</v>
      </c>
      <c r="C214" s="99" t="s">
        <v>63</v>
      </c>
      <c r="D214" s="46" t="s">
        <v>250</v>
      </c>
      <c r="E214" s="102">
        <v>20</v>
      </c>
      <c r="F214" s="102">
        <v>0</v>
      </c>
      <c r="G214" s="102">
        <v>11</v>
      </c>
      <c r="H214" s="76">
        <v>0</v>
      </c>
      <c r="I214" s="103">
        <f t="shared" si="19"/>
        <v>1.25</v>
      </c>
      <c r="J214" s="103">
        <f t="shared" si="19"/>
        <v>1</v>
      </c>
      <c r="K214" s="103">
        <f t="shared" si="19"/>
        <v>1.1235955056179776</v>
      </c>
      <c r="L214" s="65">
        <f t="shared" si="19"/>
        <v>1</v>
      </c>
    </row>
    <row r="215" spans="1:13" x14ac:dyDescent="0.15">
      <c r="A215" s="68" t="s">
        <v>9</v>
      </c>
      <c r="B215" s="98" t="s">
        <v>233</v>
      </c>
      <c r="C215" s="99" t="s">
        <v>63</v>
      </c>
      <c r="D215" s="46" t="s">
        <v>250</v>
      </c>
      <c r="E215" s="102">
        <v>20</v>
      </c>
      <c r="F215" s="102">
        <v>0</v>
      </c>
      <c r="G215" s="102">
        <v>11</v>
      </c>
      <c r="H215" s="76">
        <v>0</v>
      </c>
      <c r="I215" s="103">
        <f t="shared" si="19"/>
        <v>1.25</v>
      </c>
      <c r="J215" s="103">
        <f t="shared" si="19"/>
        <v>1</v>
      </c>
      <c r="K215" s="103">
        <f t="shared" si="19"/>
        <v>1.1235955056179776</v>
      </c>
      <c r="L215" s="65">
        <f t="shared" si="19"/>
        <v>1</v>
      </c>
    </row>
    <row r="216" spans="1:13" x14ac:dyDescent="0.15">
      <c r="A216" s="68" t="s">
        <v>9</v>
      </c>
      <c r="B216" s="98" t="s">
        <v>234</v>
      </c>
      <c r="C216" s="99" t="s">
        <v>63</v>
      </c>
      <c r="D216" s="46" t="s">
        <v>250</v>
      </c>
      <c r="E216" s="102">
        <v>20</v>
      </c>
      <c r="F216" s="102">
        <v>0</v>
      </c>
      <c r="G216" s="102">
        <v>11</v>
      </c>
      <c r="H216" s="76">
        <v>0</v>
      </c>
      <c r="I216" s="173">
        <f t="shared" si="19"/>
        <v>1.25</v>
      </c>
      <c r="J216" s="103">
        <f t="shared" si="19"/>
        <v>1</v>
      </c>
      <c r="K216" s="103">
        <f t="shared" si="19"/>
        <v>1.1235955056179776</v>
      </c>
      <c r="L216" s="65">
        <f t="shared" si="19"/>
        <v>1</v>
      </c>
    </row>
    <row r="217" spans="1:13" x14ac:dyDescent="0.15">
      <c r="A217" s="162" t="s">
        <v>392</v>
      </c>
      <c r="B217" s="153"/>
      <c r="C217" s="153"/>
      <c r="D217" s="153"/>
      <c r="E217" s="153"/>
      <c r="F217" s="153"/>
      <c r="G217" s="153"/>
      <c r="H217" s="153"/>
      <c r="I217" s="153"/>
      <c r="J217" s="153"/>
      <c r="K217" s="153"/>
      <c r="L217" s="163"/>
    </row>
    <row r="219" spans="1:13" x14ac:dyDescent="0.15">
      <c r="A219" s="394" t="s">
        <v>1020</v>
      </c>
    </row>
    <row r="220" spans="1:13" x14ac:dyDescent="0.15">
      <c r="A220" s="394" t="s">
        <v>1021</v>
      </c>
    </row>
    <row r="221" spans="1:13" s="308" customFormat="1" x14ac:dyDescent="0.15">
      <c r="A221" s="311" t="s">
        <v>1032</v>
      </c>
    </row>
    <row r="222" spans="1:13" s="308" customFormat="1" x14ac:dyDescent="0.15">
      <c r="A222" s="398"/>
    </row>
    <row r="223" spans="1:13" s="308" customFormat="1" x14ac:dyDescent="0.15">
      <c r="A223" s="398"/>
    </row>
    <row r="224" spans="1:13" x14ac:dyDescent="0.15">
      <c r="A224" s="308"/>
    </row>
    <row r="225" spans="1:1" x14ac:dyDescent="0.15">
      <c r="A225" s="95"/>
    </row>
  </sheetData>
  <mergeCells count="1">
    <mergeCell ref="A2:J4"/>
  </mergeCells>
  <phoneticPr fontId="4" type="noConversion"/>
  <pageMargins left="0.75" right="0.75" top="1" bottom="1" header="0.5" footer="0.5"/>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D280"/>
  <sheetViews>
    <sheetView topLeftCell="A194" workbookViewId="0">
      <selection activeCell="G211" sqref="G211"/>
    </sheetView>
  </sheetViews>
  <sheetFormatPr baseColWidth="10" defaultColWidth="8.83203125" defaultRowHeight="13" x14ac:dyDescent="0.15"/>
  <cols>
    <col min="1" max="1" width="25.83203125" bestFit="1" customWidth="1"/>
    <col min="2" max="2" width="28.6640625" customWidth="1"/>
    <col min="3" max="3" width="14.6640625" bestFit="1" customWidth="1"/>
    <col min="4" max="4" width="20.5" bestFit="1" customWidth="1"/>
    <col min="5" max="5" width="20.33203125" bestFit="1" customWidth="1"/>
    <col min="6" max="6" width="33.33203125" bestFit="1" customWidth="1"/>
    <col min="7" max="8" width="14.6640625" style="189" customWidth="1"/>
    <col min="9" max="9" width="154.33203125" customWidth="1"/>
    <col min="10" max="13" width="12.6640625" customWidth="1"/>
  </cols>
  <sheetData>
    <row r="1" spans="1:29" ht="14" thickBot="1" x14ac:dyDescent="0.2">
      <c r="A1" s="1" t="s">
        <v>22</v>
      </c>
    </row>
    <row r="2" spans="1:29" x14ac:dyDescent="0.15">
      <c r="A2" s="871" t="s">
        <v>317</v>
      </c>
      <c r="B2" s="872"/>
      <c r="C2" s="872"/>
      <c r="D2" s="872"/>
      <c r="E2" s="872"/>
      <c r="F2" s="872"/>
      <c r="G2" s="872"/>
      <c r="H2" s="873"/>
    </row>
    <row r="3" spans="1:29" x14ac:dyDescent="0.15">
      <c r="A3" s="874"/>
      <c r="B3" s="875"/>
      <c r="C3" s="875"/>
      <c r="D3" s="875"/>
      <c r="E3" s="875"/>
      <c r="F3" s="875"/>
      <c r="G3" s="875"/>
      <c r="H3" s="876"/>
    </row>
    <row r="4" spans="1:29" ht="14" thickBot="1" x14ac:dyDescent="0.2">
      <c r="A4" s="877"/>
      <c r="B4" s="878"/>
      <c r="C4" s="878"/>
      <c r="D4" s="878"/>
      <c r="E4" s="878"/>
      <c r="F4" s="878"/>
      <c r="G4" s="878"/>
      <c r="H4" s="879"/>
    </row>
    <row r="6" spans="1:29" ht="39" x14ac:dyDescent="0.15">
      <c r="A6" s="70" t="s">
        <v>3</v>
      </c>
      <c r="B6" s="71" t="s">
        <v>27</v>
      </c>
      <c r="C6" s="71" t="s">
        <v>59</v>
      </c>
      <c r="D6" s="70" t="s">
        <v>258</v>
      </c>
      <c r="E6" s="69" t="s">
        <v>595</v>
      </c>
      <c r="F6" s="70" t="s">
        <v>259</v>
      </c>
      <c r="G6" s="30" t="s">
        <v>262</v>
      </c>
      <c r="H6" s="30" t="s">
        <v>263</v>
      </c>
      <c r="I6" s="475" t="s">
        <v>2</v>
      </c>
    </row>
    <row r="7" spans="1:29" x14ac:dyDescent="0.15">
      <c r="A7" s="15" t="s">
        <v>4</v>
      </c>
      <c r="B7" s="12" t="s">
        <v>60</v>
      </c>
      <c r="C7" s="12" t="s">
        <v>63</v>
      </c>
      <c r="D7" s="15" t="s">
        <v>238</v>
      </c>
      <c r="E7" s="15" t="s">
        <v>252</v>
      </c>
      <c r="F7" s="15" t="s">
        <v>244</v>
      </c>
      <c r="G7" s="74">
        <f>AVERAGE(0.74,0.98)</f>
        <v>0.86</v>
      </c>
      <c r="H7" s="199">
        <f t="shared" ref="H7:H15" si="0">1/G7</f>
        <v>1.1627906976744187</v>
      </c>
      <c r="I7" s="472" t="s">
        <v>261</v>
      </c>
    </row>
    <row r="8" spans="1:29" x14ac:dyDescent="0.15">
      <c r="A8" s="15" t="s">
        <v>4</v>
      </c>
      <c r="B8" s="12" t="s">
        <v>61</v>
      </c>
      <c r="C8" s="12" t="s">
        <v>63</v>
      </c>
      <c r="D8" s="15" t="s">
        <v>238</v>
      </c>
      <c r="E8" s="15" t="s">
        <v>251</v>
      </c>
      <c r="F8" s="15" t="s">
        <v>244</v>
      </c>
      <c r="G8" s="74">
        <v>0.73</v>
      </c>
      <c r="H8" s="199">
        <f t="shared" si="0"/>
        <v>1.3698630136986301</v>
      </c>
      <c r="I8" s="472" t="s">
        <v>264</v>
      </c>
    </row>
    <row r="9" spans="1:29" x14ac:dyDescent="0.15">
      <c r="A9" s="15" t="s">
        <v>4</v>
      </c>
      <c r="B9" s="13" t="s">
        <v>62</v>
      </c>
      <c r="C9" s="12" t="s">
        <v>63</v>
      </c>
      <c r="D9" s="15" t="s">
        <v>238</v>
      </c>
      <c r="E9" s="15" t="s">
        <v>38</v>
      </c>
      <c r="F9" s="15" t="s">
        <v>244</v>
      </c>
      <c r="G9" s="74">
        <f>AVERAGE(0.589,0.893)</f>
        <v>0.74099999999999999</v>
      </c>
      <c r="H9" s="199">
        <f t="shared" si="0"/>
        <v>1.3495276653171391</v>
      </c>
      <c r="I9" s="472" t="s">
        <v>268</v>
      </c>
    </row>
    <row r="10" spans="1:29" x14ac:dyDescent="0.15">
      <c r="A10" s="15" t="s">
        <v>4</v>
      </c>
      <c r="B10" s="13" t="s">
        <v>54</v>
      </c>
      <c r="C10" s="12" t="s">
        <v>63</v>
      </c>
      <c r="D10" s="15" t="s">
        <v>238</v>
      </c>
      <c r="E10" s="15" t="s">
        <v>38</v>
      </c>
      <c r="F10" s="15" t="s">
        <v>244</v>
      </c>
      <c r="G10" s="74">
        <v>0.51800000000000002</v>
      </c>
      <c r="H10" s="199">
        <f t="shared" si="0"/>
        <v>1.9305019305019304</v>
      </c>
      <c r="I10" s="473"/>
    </row>
    <row r="11" spans="1:29" x14ac:dyDescent="0.15">
      <c r="A11" s="15" t="s">
        <v>4</v>
      </c>
      <c r="B11" s="13" t="s">
        <v>55</v>
      </c>
      <c r="C11" s="12" t="s">
        <v>63</v>
      </c>
      <c r="D11" s="15" t="s">
        <v>238</v>
      </c>
      <c r="E11" s="15" t="s">
        <v>38</v>
      </c>
      <c r="F11" s="15" t="s">
        <v>244</v>
      </c>
      <c r="G11" s="74">
        <v>0.61399999999999999</v>
      </c>
      <c r="H11" s="199">
        <f t="shared" si="0"/>
        <v>1.6286644951140066</v>
      </c>
      <c r="I11" s="473"/>
    </row>
    <row r="12" spans="1:29" x14ac:dyDescent="0.15">
      <c r="A12" s="15" t="s">
        <v>4</v>
      </c>
      <c r="B12" s="12" t="s">
        <v>56</v>
      </c>
      <c r="C12" s="12" t="s">
        <v>63</v>
      </c>
      <c r="D12" s="15" t="s">
        <v>238</v>
      </c>
      <c r="E12" s="15" t="s">
        <v>253</v>
      </c>
      <c r="F12" s="15" t="s">
        <v>244</v>
      </c>
      <c r="G12" s="234">
        <v>0.87</v>
      </c>
      <c r="H12" s="317">
        <f t="shared" si="0"/>
        <v>1.1494252873563218</v>
      </c>
      <c r="I12" s="472" t="s">
        <v>1279</v>
      </c>
      <c r="J12" s="5"/>
      <c r="K12" s="5"/>
      <c r="L12" s="5"/>
      <c r="M12" s="5"/>
      <c r="N12" s="5"/>
      <c r="O12" s="5"/>
      <c r="P12" s="5"/>
      <c r="Q12" s="5"/>
      <c r="R12" s="5"/>
      <c r="S12" s="5"/>
      <c r="T12" s="5"/>
      <c r="U12" s="5"/>
      <c r="V12" s="5"/>
    </row>
    <row r="13" spans="1:29" x14ac:dyDescent="0.15">
      <c r="A13" s="15" t="s">
        <v>4</v>
      </c>
      <c r="B13" s="12" t="s">
        <v>36</v>
      </c>
      <c r="C13" s="12" t="s">
        <v>63</v>
      </c>
      <c r="D13" s="15" t="s">
        <v>238</v>
      </c>
      <c r="E13" s="15" t="s">
        <v>36</v>
      </c>
      <c r="F13" s="15" t="s">
        <v>244</v>
      </c>
      <c r="G13" s="323">
        <f>AVERAGE(0.71,0.8)</f>
        <v>0.755</v>
      </c>
      <c r="H13" s="317">
        <f t="shared" si="0"/>
        <v>1.3245033112582782</v>
      </c>
      <c r="I13" s="472" t="s">
        <v>1277</v>
      </c>
      <c r="J13" s="310"/>
      <c r="K13" s="310"/>
      <c r="L13" s="310"/>
      <c r="M13" s="310"/>
      <c r="N13" s="310"/>
      <c r="O13" s="310"/>
      <c r="P13" s="310"/>
      <c r="Q13" s="310"/>
      <c r="R13" s="310"/>
      <c r="S13" s="310"/>
      <c r="T13" s="310"/>
      <c r="U13" s="310"/>
      <c r="V13" s="310"/>
      <c r="W13" s="310"/>
      <c r="X13" s="310"/>
      <c r="Y13" s="310"/>
      <c r="Z13" s="310"/>
      <c r="AA13" s="310"/>
      <c r="AB13" s="310"/>
      <c r="AC13" s="310"/>
    </row>
    <row r="14" spans="1:29" x14ac:dyDescent="0.15">
      <c r="A14" s="15" t="s">
        <v>4</v>
      </c>
      <c r="B14" s="13" t="s">
        <v>57</v>
      </c>
      <c r="C14" s="12" t="s">
        <v>63</v>
      </c>
      <c r="D14" s="15" t="s">
        <v>238</v>
      </c>
      <c r="E14" s="15" t="s">
        <v>254</v>
      </c>
      <c r="F14" s="15" t="s">
        <v>244</v>
      </c>
      <c r="G14" s="74">
        <f>AVERAGE(0.634,0.579,0.641)</f>
        <v>0.61799999999999999</v>
      </c>
      <c r="H14" s="199">
        <f t="shared" si="0"/>
        <v>1.6181229773462784</v>
      </c>
      <c r="I14" s="472" t="s">
        <v>266</v>
      </c>
    </row>
    <row r="15" spans="1:29" x14ac:dyDescent="0.15">
      <c r="A15" s="315" t="s">
        <v>4</v>
      </c>
      <c r="B15" s="13" t="s">
        <v>58</v>
      </c>
      <c r="C15" s="12" t="s">
        <v>63</v>
      </c>
      <c r="D15" s="315" t="s">
        <v>238</v>
      </c>
      <c r="E15" s="315" t="s">
        <v>255</v>
      </c>
      <c r="F15" s="315" t="s">
        <v>244</v>
      </c>
      <c r="G15" s="207">
        <f>AVERAGE(0.542,0.625,0.708)</f>
        <v>0.625</v>
      </c>
      <c r="H15" s="199">
        <f t="shared" si="0"/>
        <v>1.6</v>
      </c>
      <c r="I15" s="472" t="s">
        <v>267</v>
      </c>
    </row>
    <row r="16" spans="1:29" s="308" customFormat="1" x14ac:dyDescent="0.15">
      <c r="A16" s="358" t="s">
        <v>692</v>
      </c>
      <c r="B16" s="359"/>
      <c r="C16" s="359"/>
      <c r="D16" s="358"/>
      <c r="E16" s="358"/>
      <c r="F16" s="358"/>
      <c r="G16" s="360"/>
      <c r="H16" s="363"/>
      <c r="I16" s="476"/>
    </row>
    <row r="17" spans="1:9" x14ac:dyDescent="0.15">
      <c r="A17" s="15" t="s">
        <v>79</v>
      </c>
      <c r="B17" s="15" t="s">
        <v>80</v>
      </c>
      <c r="C17" s="33" t="s">
        <v>429</v>
      </c>
      <c r="D17" s="46" t="s">
        <v>244</v>
      </c>
      <c r="E17" t="str">
        <f t="shared" ref="E17:E26" si="1">B17</f>
        <v>Broccoli</v>
      </c>
      <c r="F17" s="15" t="s">
        <v>244</v>
      </c>
      <c r="G17" s="235">
        <v>1</v>
      </c>
      <c r="H17" s="199">
        <f t="shared" ref="H17:H26" si="2">1/G17</f>
        <v>1</v>
      </c>
      <c r="I17" s="473"/>
    </row>
    <row r="18" spans="1:9" x14ac:dyDescent="0.15">
      <c r="A18" s="15" t="s">
        <v>79</v>
      </c>
      <c r="B18" s="15" t="s">
        <v>80</v>
      </c>
      <c r="C18" s="33" t="s">
        <v>432</v>
      </c>
      <c r="D18" s="46" t="s">
        <v>244</v>
      </c>
      <c r="E18" t="str">
        <f t="shared" si="1"/>
        <v>Broccoli</v>
      </c>
      <c r="F18" s="15" t="s">
        <v>244</v>
      </c>
      <c r="G18" s="235">
        <v>1</v>
      </c>
      <c r="H18" s="199">
        <f t="shared" si="2"/>
        <v>1</v>
      </c>
      <c r="I18" s="473"/>
    </row>
    <row r="19" spans="1:9" x14ac:dyDescent="0.15">
      <c r="A19" s="14" t="s">
        <v>79</v>
      </c>
      <c r="B19" s="14" t="s">
        <v>81</v>
      </c>
      <c r="C19" s="33" t="s">
        <v>429</v>
      </c>
      <c r="D19" s="46" t="s">
        <v>244</v>
      </c>
      <c r="E19" t="str">
        <f t="shared" si="1"/>
        <v>Collard Greens</v>
      </c>
      <c r="F19" s="15" t="s">
        <v>244</v>
      </c>
      <c r="G19" s="235">
        <v>1</v>
      </c>
      <c r="H19" s="199">
        <f t="shared" si="2"/>
        <v>1</v>
      </c>
      <c r="I19" s="473"/>
    </row>
    <row r="20" spans="1:9" x14ac:dyDescent="0.15">
      <c r="A20" s="14" t="s">
        <v>79</v>
      </c>
      <c r="B20" s="14" t="s">
        <v>82</v>
      </c>
      <c r="C20" s="33" t="s">
        <v>429</v>
      </c>
      <c r="D20" s="46" t="s">
        <v>244</v>
      </c>
      <c r="E20" t="str">
        <f t="shared" si="1"/>
        <v>Escarole /endive</v>
      </c>
      <c r="F20" s="15" t="s">
        <v>244</v>
      </c>
      <c r="G20" s="235">
        <v>1</v>
      </c>
      <c r="H20" s="199">
        <f t="shared" si="2"/>
        <v>1</v>
      </c>
      <c r="I20" s="473"/>
    </row>
    <row r="21" spans="1:9" x14ac:dyDescent="0.15">
      <c r="A21" s="15" t="s">
        <v>79</v>
      </c>
      <c r="B21" s="15" t="s">
        <v>83</v>
      </c>
      <c r="C21" s="33" t="s">
        <v>429</v>
      </c>
      <c r="D21" s="46" t="s">
        <v>244</v>
      </c>
      <c r="E21" t="str">
        <f t="shared" si="1"/>
        <v>Kale</v>
      </c>
      <c r="F21" s="15" t="s">
        <v>244</v>
      </c>
      <c r="G21" s="235">
        <v>1</v>
      </c>
      <c r="H21" s="199">
        <f t="shared" si="2"/>
        <v>1</v>
      </c>
      <c r="I21" s="473"/>
    </row>
    <row r="22" spans="1:9" x14ac:dyDescent="0.15">
      <c r="A22" s="15" t="s">
        <v>79</v>
      </c>
      <c r="B22" s="15" t="s">
        <v>84</v>
      </c>
      <c r="C22" s="33" t="s">
        <v>429</v>
      </c>
      <c r="D22" s="46" t="s">
        <v>244</v>
      </c>
      <c r="E22" t="str">
        <f t="shared" si="1"/>
        <v>Romaine &amp; Leaf Lettuce</v>
      </c>
      <c r="F22" s="15" t="s">
        <v>244</v>
      </c>
      <c r="G22" s="235">
        <v>1</v>
      </c>
      <c r="H22" s="199">
        <f t="shared" si="2"/>
        <v>1</v>
      </c>
      <c r="I22" s="473"/>
    </row>
    <row r="23" spans="1:9" x14ac:dyDescent="0.15">
      <c r="A23" s="15" t="s">
        <v>79</v>
      </c>
      <c r="B23" s="15" t="s">
        <v>85</v>
      </c>
      <c r="C23" s="33" t="s">
        <v>429</v>
      </c>
      <c r="D23" s="46" t="s">
        <v>244</v>
      </c>
      <c r="E23" t="str">
        <f t="shared" si="1"/>
        <v>Mustard Greens</v>
      </c>
      <c r="F23" s="15" t="s">
        <v>244</v>
      </c>
      <c r="G23" s="235">
        <v>1</v>
      </c>
      <c r="H23" s="199">
        <f t="shared" si="2"/>
        <v>1</v>
      </c>
      <c r="I23" s="473"/>
    </row>
    <row r="24" spans="1:9" x14ac:dyDescent="0.15">
      <c r="A24" s="15" t="s">
        <v>79</v>
      </c>
      <c r="B24" s="15" t="s">
        <v>86</v>
      </c>
      <c r="C24" s="33" t="s">
        <v>429</v>
      </c>
      <c r="D24" s="46" t="s">
        <v>244</v>
      </c>
      <c r="E24" t="str">
        <f t="shared" si="1"/>
        <v>Spinach</v>
      </c>
      <c r="F24" s="15" t="s">
        <v>244</v>
      </c>
      <c r="G24" s="235">
        <v>1</v>
      </c>
      <c r="H24" s="199">
        <f t="shared" si="2"/>
        <v>1</v>
      </c>
      <c r="I24" s="473"/>
    </row>
    <row r="25" spans="1:9" x14ac:dyDescent="0.15">
      <c r="A25" s="15" t="s">
        <v>79</v>
      </c>
      <c r="B25" s="15" t="s">
        <v>86</v>
      </c>
      <c r="C25" s="33" t="s">
        <v>432</v>
      </c>
      <c r="D25" s="46" t="s">
        <v>244</v>
      </c>
      <c r="E25" t="str">
        <f t="shared" si="1"/>
        <v>Spinach</v>
      </c>
      <c r="F25" s="15" t="s">
        <v>244</v>
      </c>
      <c r="G25" s="235">
        <v>1</v>
      </c>
      <c r="H25" s="199">
        <f t="shared" si="2"/>
        <v>1</v>
      </c>
      <c r="I25" s="473"/>
    </row>
    <row r="26" spans="1:9" x14ac:dyDescent="0.15">
      <c r="A26" s="315" t="s">
        <v>79</v>
      </c>
      <c r="B26" s="315" t="s">
        <v>87</v>
      </c>
      <c r="C26" s="99" t="s">
        <v>429</v>
      </c>
      <c r="D26" s="309" t="s">
        <v>244</v>
      </c>
      <c r="E26" s="313" t="str">
        <f t="shared" si="1"/>
        <v>Turnip greens</v>
      </c>
      <c r="F26" s="315" t="s">
        <v>244</v>
      </c>
      <c r="G26" s="199">
        <v>1</v>
      </c>
      <c r="H26" s="199">
        <f t="shared" si="2"/>
        <v>1</v>
      </c>
      <c r="I26" s="473"/>
    </row>
    <row r="27" spans="1:9" s="308" customFormat="1" x14ac:dyDescent="0.15">
      <c r="A27" s="358" t="s">
        <v>693</v>
      </c>
      <c r="B27" s="358"/>
      <c r="C27" s="361"/>
      <c r="D27" s="358"/>
      <c r="E27" s="362"/>
      <c r="F27" s="358"/>
      <c r="G27" s="363"/>
      <c r="H27" s="363"/>
      <c r="I27" s="474"/>
    </row>
    <row r="28" spans="1:9" x14ac:dyDescent="0.15">
      <c r="A28" s="68" t="s">
        <v>1224</v>
      </c>
      <c r="B28" s="15" t="s">
        <v>89</v>
      </c>
      <c r="C28" s="33" t="s">
        <v>429</v>
      </c>
      <c r="D28" s="46" t="s">
        <v>244</v>
      </c>
      <c r="E28" t="str">
        <f t="shared" ref="E28:E35" si="3">B28</f>
        <v>Carrots</v>
      </c>
      <c r="F28" s="15" t="s">
        <v>244</v>
      </c>
      <c r="G28" s="235">
        <v>1</v>
      </c>
      <c r="H28" s="199">
        <f t="shared" ref="H28:H35" si="4">1/G28</f>
        <v>1</v>
      </c>
      <c r="I28" s="473"/>
    </row>
    <row r="29" spans="1:9" x14ac:dyDescent="0.15">
      <c r="A29" s="68" t="s">
        <v>1224</v>
      </c>
      <c r="B29" s="15" t="s">
        <v>89</v>
      </c>
      <c r="C29" s="33" t="s">
        <v>431</v>
      </c>
      <c r="D29" s="46" t="s">
        <v>244</v>
      </c>
      <c r="E29" t="str">
        <f t="shared" si="3"/>
        <v>Carrots</v>
      </c>
      <c r="F29" s="15" t="s">
        <v>244</v>
      </c>
      <c r="G29" s="235">
        <v>1</v>
      </c>
      <c r="H29" s="199">
        <f t="shared" si="4"/>
        <v>1</v>
      </c>
      <c r="I29" s="473"/>
    </row>
    <row r="30" spans="1:9" x14ac:dyDescent="0.15">
      <c r="A30" s="68" t="s">
        <v>1224</v>
      </c>
      <c r="B30" s="15" t="s">
        <v>89</v>
      </c>
      <c r="C30" s="33" t="s">
        <v>432</v>
      </c>
      <c r="D30" s="46" t="s">
        <v>244</v>
      </c>
      <c r="E30" t="str">
        <f t="shared" si="3"/>
        <v>Carrots</v>
      </c>
      <c r="F30" s="15" t="s">
        <v>244</v>
      </c>
      <c r="G30" s="235">
        <v>1</v>
      </c>
      <c r="H30" s="199">
        <f t="shared" si="4"/>
        <v>1</v>
      </c>
      <c r="I30" s="473"/>
    </row>
    <row r="31" spans="1:9" x14ac:dyDescent="0.15">
      <c r="A31" s="68" t="s">
        <v>1224</v>
      </c>
      <c r="B31" s="15" t="s">
        <v>90</v>
      </c>
      <c r="C31" s="33" t="s">
        <v>429</v>
      </c>
      <c r="D31" s="46" t="s">
        <v>244</v>
      </c>
      <c r="E31" t="str">
        <f t="shared" si="3"/>
        <v>Pumpkin</v>
      </c>
      <c r="F31" s="15" t="s">
        <v>244</v>
      </c>
      <c r="G31" s="235">
        <v>1</v>
      </c>
      <c r="H31" s="199">
        <f t="shared" si="4"/>
        <v>1</v>
      </c>
      <c r="I31" s="473"/>
    </row>
    <row r="32" spans="1:9" x14ac:dyDescent="0.15">
      <c r="A32" s="68" t="s">
        <v>1224</v>
      </c>
      <c r="B32" s="15" t="s">
        <v>91</v>
      </c>
      <c r="C32" s="33" t="s">
        <v>429</v>
      </c>
      <c r="D32" s="46" t="s">
        <v>244</v>
      </c>
      <c r="E32" t="str">
        <f t="shared" si="3"/>
        <v>Winter Squash</v>
      </c>
      <c r="F32" s="15" t="s">
        <v>244</v>
      </c>
      <c r="G32" s="235">
        <v>1</v>
      </c>
      <c r="H32" s="199">
        <f t="shared" si="4"/>
        <v>1</v>
      </c>
      <c r="I32" s="473"/>
    </row>
    <row r="33" spans="1:9" x14ac:dyDescent="0.15">
      <c r="A33" s="68" t="s">
        <v>1224</v>
      </c>
      <c r="B33" s="315" t="s">
        <v>92</v>
      </c>
      <c r="C33" s="99" t="s">
        <v>429</v>
      </c>
      <c r="D33" s="309" t="s">
        <v>244</v>
      </c>
      <c r="E33" s="313" t="str">
        <f t="shared" si="3"/>
        <v>Sweet Potatoes</v>
      </c>
      <c r="F33" s="315" t="s">
        <v>244</v>
      </c>
      <c r="G33" s="199">
        <v>1</v>
      </c>
      <c r="H33" s="199">
        <f t="shared" si="4"/>
        <v>1</v>
      </c>
      <c r="I33" s="473"/>
    </row>
    <row r="34" spans="1:9" s="308" customFormat="1" x14ac:dyDescent="0.15">
      <c r="A34" s="68" t="s">
        <v>1224</v>
      </c>
      <c r="B34" s="15" t="s">
        <v>121</v>
      </c>
      <c r="C34" s="312" t="s">
        <v>429</v>
      </c>
      <c r="D34" s="309" t="s">
        <v>244</v>
      </c>
      <c r="E34" s="308" t="str">
        <f t="shared" si="3"/>
        <v>Tomatoes</v>
      </c>
      <c r="F34" s="15" t="s">
        <v>244</v>
      </c>
      <c r="G34" s="235">
        <v>1</v>
      </c>
      <c r="H34" s="199">
        <f t="shared" si="4"/>
        <v>1</v>
      </c>
      <c r="I34" s="473"/>
    </row>
    <row r="35" spans="1:9" s="308" customFormat="1" x14ac:dyDescent="0.15">
      <c r="A35" s="68" t="s">
        <v>1224</v>
      </c>
      <c r="B35" s="315" t="s">
        <v>121</v>
      </c>
      <c r="C35" s="99" t="s">
        <v>431</v>
      </c>
      <c r="D35" s="309" t="s">
        <v>244</v>
      </c>
      <c r="E35" s="313" t="str">
        <f t="shared" si="3"/>
        <v>Tomatoes</v>
      </c>
      <c r="F35" s="315" t="s">
        <v>244</v>
      </c>
      <c r="G35" s="199">
        <v>1</v>
      </c>
      <c r="H35" s="199">
        <f t="shared" si="4"/>
        <v>1</v>
      </c>
      <c r="I35" s="473"/>
    </row>
    <row r="36" spans="1:9" s="308" customFormat="1" x14ac:dyDescent="0.15">
      <c r="A36" s="358" t="s">
        <v>694</v>
      </c>
      <c r="B36" s="358"/>
      <c r="C36" s="361"/>
      <c r="D36" s="358"/>
      <c r="E36" s="362"/>
      <c r="F36" s="358"/>
      <c r="G36" s="363"/>
      <c r="H36" s="363"/>
      <c r="I36" s="474"/>
    </row>
    <row r="37" spans="1:9" x14ac:dyDescent="0.15">
      <c r="A37" s="15" t="s">
        <v>93</v>
      </c>
      <c r="B37" s="15" t="s">
        <v>94</v>
      </c>
      <c r="C37" s="33" t="s">
        <v>517</v>
      </c>
      <c r="D37" s="46" t="s">
        <v>244</v>
      </c>
      <c r="E37" t="str">
        <f t="shared" ref="E37:E49" si="5">B37</f>
        <v>Dry edible beans</v>
      </c>
      <c r="F37" s="15" t="s">
        <v>244</v>
      </c>
      <c r="G37" s="235">
        <v>1</v>
      </c>
      <c r="H37" s="199">
        <f t="shared" ref="H37:H49" si="6">1/G37</f>
        <v>1</v>
      </c>
      <c r="I37" s="473"/>
    </row>
    <row r="38" spans="1:9" x14ac:dyDescent="0.15">
      <c r="A38" s="25" t="s">
        <v>93</v>
      </c>
      <c r="B38" s="25" t="s">
        <v>95</v>
      </c>
      <c r="C38" s="34" t="s">
        <v>517</v>
      </c>
      <c r="D38" s="47" t="s">
        <v>244</v>
      </c>
      <c r="E38" s="8" t="str">
        <f t="shared" si="5"/>
        <v>Dry peas and lentils</v>
      </c>
      <c r="F38" s="25" t="s">
        <v>244</v>
      </c>
      <c r="G38" s="236">
        <v>1</v>
      </c>
      <c r="H38" s="236">
        <f t="shared" si="6"/>
        <v>1</v>
      </c>
      <c r="I38" s="474"/>
    </row>
    <row r="39" spans="1:9" x14ac:dyDescent="0.15">
      <c r="A39" s="15" t="s">
        <v>97</v>
      </c>
      <c r="B39" s="15" t="s">
        <v>101</v>
      </c>
      <c r="C39" s="33" t="s">
        <v>431</v>
      </c>
      <c r="D39" s="46" t="s">
        <v>244</v>
      </c>
      <c r="E39" t="str">
        <f t="shared" si="5"/>
        <v>Green Peas</v>
      </c>
      <c r="F39" s="15" t="s">
        <v>244</v>
      </c>
      <c r="G39" s="235">
        <v>1</v>
      </c>
      <c r="H39" s="199">
        <f t="shared" si="6"/>
        <v>1</v>
      </c>
      <c r="I39" s="473"/>
    </row>
    <row r="40" spans="1:9" x14ac:dyDescent="0.15">
      <c r="A40" s="15" t="s">
        <v>97</v>
      </c>
      <c r="B40" s="15" t="s">
        <v>101</v>
      </c>
      <c r="C40" s="33" t="s">
        <v>432</v>
      </c>
      <c r="D40" s="46" t="s">
        <v>244</v>
      </c>
      <c r="E40" t="str">
        <f t="shared" si="5"/>
        <v>Green Peas</v>
      </c>
      <c r="F40" s="15" t="s">
        <v>244</v>
      </c>
      <c r="G40" s="235">
        <v>1</v>
      </c>
      <c r="H40" s="199">
        <f t="shared" si="6"/>
        <v>1</v>
      </c>
      <c r="I40" s="473"/>
    </row>
    <row r="41" spans="1:9" x14ac:dyDescent="0.15">
      <c r="A41" s="15" t="s">
        <v>97</v>
      </c>
      <c r="B41" s="15" t="s">
        <v>98</v>
      </c>
      <c r="C41" s="33" t="s">
        <v>429</v>
      </c>
      <c r="D41" s="46" t="s">
        <v>244</v>
      </c>
      <c r="E41" t="str">
        <f t="shared" si="5"/>
        <v>Lima beans</v>
      </c>
      <c r="F41" s="15" t="s">
        <v>244</v>
      </c>
      <c r="G41" s="235">
        <v>1</v>
      </c>
      <c r="H41" s="199">
        <f t="shared" si="6"/>
        <v>1</v>
      </c>
      <c r="I41" s="473"/>
    </row>
    <row r="42" spans="1:9" x14ac:dyDescent="0.15">
      <c r="A42" s="15" t="s">
        <v>97</v>
      </c>
      <c r="B42" s="15" t="s">
        <v>98</v>
      </c>
      <c r="C42" s="33" t="s">
        <v>432</v>
      </c>
      <c r="D42" s="46" t="s">
        <v>244</v>
      </c>
      <c r="E42" t="str">
        <f t="shared" si="5"/>
        <v>Lima beans</v>
      </c>
      <c r="F42" s="15" t="s">
        <v>244</v>
      </c>
      <c r="G42" s="235">
        <v>1</v>
      </c>
      <c r="H42" s="199">
        <f t="shared" si="6"/>
        <v>1</v>
      </c>
      <c r="I42" s="473"/>
    </row>
    <row r="43" spans="1:9" x14ac:dyDescent="0.15">
      <c r="A43" s="15" t="s">
        <v>97</v>
      </c>
      <c r="B43" s="15" t="s">
        <v>99</v>
      </c>
      <c r="C43" s="33" t="s">
        <v>429</v>
      </c>
      <c r="D43" s="46" t="s">
        <v>244</v>
      </c>
      <c r="E43" t="str">
        <f t="shared" si="5"/>
        <v>Potatoes</v>
      </c>
      <c r="F43" s="15" t="s">
        <v>244</v>
      </c>
      <c r="G43" s="235">
        <v>1</v>
      </c>
      <c r="H43" s="199">
        <f t="shared" si="6"/>
        <v>1</v>
      </c>
      <c r="I43" s="473"/>
    </row>
    <row r="44" spans="1:9" x14ac:dyDescent="0.15">
      <c r="A44" s="15" t="s">
        <v>97</v>
      </c>
      <c r="B44" s="15" t="s">
        <v>99</v>
      </c>
      <c r="C44" s="33" t="s">
        <v>431</v>
      </c>
      <c r="D44" s="46" t="s">
        <v>244</v>
      </c>
      <c r="E44" t="str">
        <f t="shared" si="5"/>
        <v>Potatoes</v>
      </c>
      <c r="F44" s="15" t="s">
        <v>244</v>
      </c>
      <c r="G44" s="235">
        <v>1</v>
      </c>
      <c r="H44" s="199">
        <f t="shared" si="6"/>
        <v>1</v>
      </c>
      <c r="I44" s="473"/>
    </row>
    <row r="45" spans="1:9" x14ac:dyDescent="0.15">
      <c r="A45" s="15" t="s">
        <v>97</v>
      </c>
      <c r="B45" s="15" t="s">
        <v>99</v>
      </c>
      <c r="C45" s="33" t="s">
        <v>432</v>
      </c>
      <c r="D45" s="46" t="s">
        <v>244</v>
      </c>
      <c r="E45" t="str">
        <f t="shared" si="5"/>
        <v>Potatoes</v>
      </c>
      <c r="F45" s="15" t="s">
        <v>244</v>
      </c>
      <c r="G45" s="235">
        <v>1</v>
      </c>
      <c r="H45" s="199">
        <f t="shared" si="6"/>
        <v>1</v>
      </c>
      <c r="I45" s="473"/>
    </row>
    <row r="46" spans="1:9" x14ac:dyDescent="0.15">
      <c r="A46" s="15" t="s">
        <v>97</v>
      </c>
      <c r="B46" s="15" t="s">
        <v>99</v>
      </c>
      <c r="C46" s="33" t="s">
        <v>518</v>
      </c>
      <c r="D46" s="46" t="s">
        <v>244</v>
      </c>
      <c r="E46" t="str">
        <f t="shared" si="5"/>
        <v>Potatoes</v>
      </c>
      <c r="F46" s="15" t="s">
        <v>244</v>
      </c>
      <c r="G46" s="235">
        <v>1</v>
      </c>
      <c r="H46" s="199">
        <f t="shared" si="6"/>
        <v>1</v>
      </c>
      <c r="I46" s="473"/>
    </row>
    <row r="47" spans="1:9" x14ac:dyDescent="0.15">
      <c r="A47" s="15" t="s">
        <v>97</v>
      </c>
      <c r="B47" s="15" t="s">
        <v>100</v>
      </c>
      <c r="C47" s="33" t="s">
        <v>429</v>
      </c>
      <c r="D47" s="46" t="s">
        <v>244</v>
      </c>
      <c r="E47" t="str">
        <f t="shared" si="5"/>
        <v>Sweet Corn</v>
      </c>
      <c r="F47" s="15" t="s">
        <v>244</v>
      </c>
      <c r="G47" s="235">
        <v>1</v>
      </c>
      <c r="H47" s="199">
        <f t="shared" si="6"/>
        <v>1</v>
      </c>
      <c r="I47" s="473"/>
    </row>
    <row r="48" spans="1:9" x14ac:dyDescent="0.15">
      <c r="A48" s="15" t="s">
        <v>97</v>
      </c>
      <c r="B48" s="15" t="s">
        <v>100</v>
      </c>
      <c r="C48" s="33" t="s">
        <v>431</v>
      </c>
      <c r="D48" s="46" t="s">
        <v>244</v>
      </c>
      <c r="E48" t="str">
        <f t="shared" si="5"/>
        <v>Sweet Corn</v>
      </c>
      <c r="F48" s="15" t="s">
        <v>244</v>
      </c>
      <c r="G48" s="235">
        <v>1</v>
      </c>
      <c r="H48" s="199">
        <f t="shared" si="6"/>
        <v>1</v>
      </c>
      <c r="I48" s="473"/>
    </row>
    <row r="49" spans="1:9" x14ac:dyDescent="0.15">
      <c r="A49" s="315" t="s">
        <v>97</v>
      </c>
      <c r="B49" s="315" t="s">
        <v>100</v>
      </c>
      <c r="C49" s="99" t="s">
        <v>432</v>
      </c>
      <c r="D49" s="309" t="s">
        <v>244</v>
      </c>
      <c r="E49" s="313" t="str">
        <f t="shared" si="5"/>
        <v>Sweet Corn</v>
      </c>
      <c r="F49" s="315" t="s">
        <v>244</v>
      </c>
      <c r="G49" s="199">
        <v>1</v>
      </c>
      <c r="H49" s="199">
        <f t="shared" si="6"/>
        <v>1</v>
      </c>
      <c r="I49" s="473"/>
    </row>
    <row r="50" spans="1:9" s="308" customFormat="1" x14ac:dyDescent="0.15">
      <c r="A50" s="152" t="s">
        <v>695</v>
      </c>
      <c r="B50" s="152"/>
      <c r="C50" s="178"/>
      <c r="D50" s="152"/>
      <c r="E50" s="153"/>
      <c r="F50" s="152"/>
      <c r="G50" s="364"/>
      <c r="H50" s="364"/>
      <c r="I50" s="474"/>
    </row>
    <row r="51" spans="1:9" x14ac:dyDescent="0.15">
      <c r="A51" s="15" t="s">
        <v>102</v>
      </c>
      <c r="B51" s="15" t="s">
        <v>103</v>
      </c>
      <c r="C51" s="33" t="s">
        <v>429</v>
      </c>
      <c r="D51" s="46" t="s">
        <v>244</v>
      </c>
      <c r="E51" t="str">
        <f t="shared" ref="E51:E77" si="7">B51</f>
        <v>Artichokes</v>
      </c>
      <c r="F51" s="15" t="s">
        <v>244</v>
      </c>
      <c r="G51" s="235">
        <v>1</v>
      </c>
      <c r="H51" s="199">
        <f t="shared" ref="H51:H77" si="8">1/G51</f>
        <v>1</v>
      </c>
      <c r="I51" s="473"/>
    </row>
    <row r="52" spans="1:9" x14ac:dyDescent="0.15">
      <c r="A52" s="15" t="s">
        <v>102</v>
      </c>
      <c r="B52" s="15" t="s">
        <v>104</v>
      </c>
      <c r="C52" s="33" t="s">
        <v>429</v>
      </c>
      <c r="D52" s="46" t="s">
        <v>244</v>
      </c>
      <c r="E52" t="str">
        <f t="shared" si="7"/>
        <v>Asparagus</v>
      </c>
      <c r="F52" s="15" t="s">
        <v>244</v>
      </c>
      <c r="G52" s="235">
        <v>1</v>
      </c>
      <c r="H52" s="199">
        <f t="shared" si="8"/>
        <v>1</v>
      </c>
      <c r="I52" s="473"/>
    </row>
    <row r="53" spans="1:9" x14ac:dyDescent="0.15">
      <c r="A53" s="15" t="s">
        <v>102</v>
      </c>
      <c r="B53" s="15" t="s">
        <v>104</v>
      </c>
      <c r="C53" s="33" t="s">
        <v>431</v>
      </c>
      <c r="D53" s="46" t="s">
        <v>244</v>
      </c>
      <c r="E53" t="str">
        <f t="shared" si="7"/>
        <v>Asparagus</v>
      </c>
      <c r="F53" s="15" t="s">
        <v>244</v>
      </c>
      <c r="G53" s="235">
        <v>1</v>
      </c>
      <c r="H53" s="199">
        <f t="shared" si="8"/>
        <v>1</v>
      </c>
      <c r="I53" s="473"/>
    </row>
    <row r="54" spans="1:9" x14ac:dyDescent="0.15">
      <c r="A54" s="15" t="s">
        <v>102</v>
      </c>
      <c r="B54" s="15" t="s">
        <v>104</v>
      </c>
      <c r="C54" s="33" t="s">
        <v>432</v>
      </c>
      <c r="D54" s="46" t="s">
        <v>244</v>
      </c>
      <c r="E54" t="str">
        <f t="shared" si="7"/>
        <v>Asparagus</v>
      </c>
      <c r="F54" s="15" t="s">
        <v>244</v>
      </c>
      <c r="G54" s="235">
        <v>1</v>
      </c>
      <c r="H54" s="199">
        <f t="shared" si="8"/>
        <v>1</v>
      </c>
      <c r="I54" s="473"/>
    </row>
    <row r="55" spans="1:9" x14ac:dyDescent="0.15">
      <c r="A55" s="15" t="s">
        <v>102</v>
      </c>
      <c r="B55" s="15" t="s">
        <v>105</v>
      </c>
      <c r="C55" s="33" t="s">
        <v>429</v>
      </c>
      <c r="D55" s="46" t="s">
        <v>244</v>
      </c>
      <c r="E55" t="str">
        <f t="shared" si="7"/>
        <v>Bell peppers</v>
      </c>
      <c r="F55" s="15" t="s">
        <v>244</v>
      </c>
      <c r="G55" s="235">
        <v>1</v>
      </c>
      <c r="H55" s="199">
        <f t="shared" si="8"/>
        <v>1</v>
      </c>
      <c r="I55" s="473"/>
    </row>
    <row r="56" spans="1:9" x14ac:dyDescent="0.15">
      <c r="A56" s="15" t="s">
        <v>102</v>
      </c>
      <c r="B56" s="15" t="s">
        <v>106</v>
      </c>
      <c r="C56" s="33" t="s">
        <v>429</v>
      </c>
      <c r="D56" s="46" t="s">
        <v>244</v>
      </c>
      <c r="E56" t="str">
        <f t="shared" si="7"/>
        <v>Brussels sprouts</v>
      </c>
      <c r="F56" s="15" t="s">
        <v>244</v>
      </c>
      <c r="G56" s="235">
        <v>1</v>
      </c>
      <c r="H56" s="199">
        <f t="shared" si="8"/>
        <v>1</v>
      </c>
      <c r="I56" s="473"/>
    </row>
    <row r="57" spans="1:9" x14ac:dyDescent="0.15">
      <c r="A57" s="15" t="s">
        <v>102</v>
      </c>
      <c r="B57" s="15" t="s">
        <v>107</v>
      </c>
      <c r="C57" s="33" t="s">
        <v>429</v>
      </c>
      <c r="D57" s="46" t="s">
        <v>244</v>
      </c>
      <c r="E57" t="str">
        <f t="shared" si="7"/>
        <v>Cabbage</v>
      </c>
      <c r="F57" s="15" t="s">
        <v>244</v>
      </c>
      <c r="G57" s="235">
        <v>1</v>
      </c>
      <c r="H57" s="199">
        <f t="shared" si="8"/>
        <v>1</v>
      </c>
      <c r="I57" s="473"/>
    </row>
    <row r="58" spans="1:9" x14ac:dyDescent="0.15">
      <c r="A58" s="15" t="s">
        <v>102</v>
      </c>
      <c r="B58" s="15" t="s">
        <v>107</v>
      </c>
      <c r="C58" s="33" t="s">
        <v>431</v>
      </c>
      <c r="D58" s="46" t="s">
        <v>244</v>
      </c>
      <c r="E58" t="str">
        <f t="shared" si="7"/>
        <v>Cabbage</v>
      </c>
      <c r="F58" s="15" t="s">
        <v>244</v>
      </c>
      <c r="G58" s="235">
        <v>1</v>
      </c>
      <c r="H58" s="199">
        <f t="shared" si="8"/>
        <v>1</v>
      </c>
      <c r="I58" s="473"/>
    </row>
    <row r="59" spans="1:9" x14ac:dyDescent="0.15">
      <c r="A59" s="15" t="s">
        <v>102</v>
      </c>
      <c r="B59" s="15" t="s">
        <v>108</v>
      </c>
      <c r="C59" s="33" t="s">
        <v>429</v>
      </c>
      <c r="D59" s="46" t="s">
        <v>244</v>
      </c>
      <c r="E59" t="str">
        <f t="shared" si="7"/>
        <v>Cauliflower</v>
      </c>
      <c r="F59" s="15" t="s">
        <v>244</v>
      </c>
      <c r="G59" s="235">
        <v>1</v>
      </c>
      <c r="H59" s="199">
        <f t="shared" si="8"/>
        <v>1</v>
      </c>
      <c r="I59" s="473"/>
    </row>
    <row r="60" spans="1:9" x14ac:dyDescent="0.15">
      <c r="A60" s="15" t="s">
        <v>102</v>
      </c>
      <c r="B60" s="15" t="s">
        <v>108</v>
      </c>
      <c r="C60" s="33" t="s">
        <v>432</v>
      </c>
      <c r="D60" s="46" t="s">
        <v>244</v>
      </c>
      <c r="E60" t="str">
        <f t="shared" si="7"/>
        <v>Cauliflower</v>
      </c>
      <c r="F60" s="15" t="s">
        <v>244</v>
      </c>
      <c r="G60" s="235">
        <v>1</v>
      </c>
      <c r="H60" s="199">
        <f t="shared" si="8"/>
        <v>1</v>
      </c>
      <c r="I60" s="473"/>
    </row>
    <row r="61" spans="1:9" x14ac:dyDescent="0.15">
      <c r="A61" s="15" t="s">
        <v>102</v>
      </c>
      <c r="B61" s="15" t="s">
        <v>109</v>
      </c>
      <c r="C61" s="33" t="s">
        <v>429</v>
      </c>
      <c r="D61" s="46" t="s">
        <v>244</v>
      </c>
      <c r="E61" t="str">
        <f t="shared" si="7"/>
        <v>Celery</v>
      </c>
      <c r="F61" s="15" t="s">
        <v>244</v>
      </c>
      <c r="G61" s="235">
        <v>1</v>
      </c>
      <c r="H61" s="199">
        <f t="shared" si="8"/>
        <v>1</v>
      </c>
      <c r="I61" s="473"/>
    </row>
    <row r="62" spans="1:9" x14ac:dyDescent="0.15">
      <c r="A62" s="15" t="s">
        <v>102</v>
      </c>
      <c r="B62" s="15" t="s">
        <v>110</v>
      </c>
      <c r="C62" s="33" t="s">
        <v>431</v>
      </c>
      <c r="D62" s="46" t="s">
        <v>244</v>
      </c>
      <c r="E62" t="str">
        <f t="shared" si="7"/>
        <v>Chilly Peppers</v>
      </c>
      <c r="F62" s="15" t="s">
        <v>244</v>
      </c>
      <c r="G62" s="235">
        <v>1</v>
      </c>
      <c r="H62" s="199">
        <f t="shared" si="8"/>
        <v>1</v>
      </c>
      <c r="I62" s="473"/>
    </row>
    <row r="63" spans="1:9" x14ac:dyDescent="0.15">
      <c r="A63" s="15" t="s">
        <v>102</v>
      </c>
      <c r="B63" s="15" t="s">
        <v>111</v>
      </c>
      <c r="C63" s="33" t="s">
        <v>429</v>
      </c>
      <c r="D63" s="46" t="s">
        <v>244</v>
      </c>
      <c r="E63" t="str">
        <f t="shared" si="7"/>
        <v>Cucumbers</v>
      </c>
      <c r="F63" s="15" t="s">
        <v>244</v>
      </c>
      <c r="G63" s="235">
        <v>1</v>
      </c>
      <c r="H63" s="199">
        <f t="shared" si="8"/>
        <v>1</v>
      </c>
      <c r="I63" s="473"/>
    </row>
    <row r="64" spans="1:9" x14ac:dyDescent="0.15">
      <c r="A64" s="15" t="s">
        <v>102</v>
      </c>
      <c r="B64" s="15" t="s">
        <v>111</v>
      </c>
      <c r="C64" s="33" t="s">
        <v>431</v>
      </c>
      <c r="D64" s="46" t="s">
        <v>244</v>
      </c>
      <c r="E64" t="str">
        <f t="shared" si="7"/>
        <v>Cucumbers</v>
      </c>
      <c r="F64" s="15" t="s">
        <v>244</v>
      </c>
      <c r="G64" s="235">
        <v>1</v>
      </c>
      <c r="H64" s="199">
        <f t="shared" si="8"/>
        <v>1</v>
      </c>
      <c r="I64" s="473"/>
    </row>
    <row r="65" spans="1:9" x14ac:dyDescent="0.15">
      <c r="A65" s="15" t="s">
        <v>102</v>
      </c>
      <c r="B65" s="15" t="s">
        <v>112</v>
      </c>
      <c r="C65" s="33" t="s">
        <v>429</v>
      </c>
      <c r="D65" s="46" t="s">
        <v>244</v>
      </c>
      <c r="E65" t="str">
        <f t="shared" si="7"/>
        <v>Eggplant</v>
      </c>
      <c r="F65" s="15" t="s">
        <v>244</v>
      </c>
      <c r="G65" s="235">
        <v>1</v>
      </c>
      <c r="H65" s="199">
        <f t="shared" si="8"/>
        <v>1</v>
      </c>
      <c r="I65" s="473"/>
    </row>
    <row r="66" spans="1:9" x14ac:dyDescent="0.15">
      <c r="A66" s="15" t="s">
        <v>102</v>
      </c>
      <c r="B66" s="15" t="s">
        <v>113</v>
      </c>
      <c r="C66" s="33" t="s">
        <v>429</v>
      </c>
      <c r="D66" s="46" t="s">
        <v>244</v>
      </c>
      <c r="E66" t="str">
        <f t="shared" si="7"/>
        <v>Garlic</v>
      </c>
      <c r="F66" s="15" t="s">
        <v>244</v>
      </c>
      <c r="G66" s="235">
        <v>1</v>
      </c>
      <c r="H66" s="199">
        <f t="shared" si="8"/>
        <v>1</v>
      </c>
      <c r="I66" s="473"/>
    </row>
    <row r="67" spans="1:9" x14ac:dyDescent="0.15">
      <c r="A67" s="15" t="s">
        <v>102</v>
      </c>
      <c r="B67" s="15" t="s">
        <v>114</v>
      </c>
      <c r="C67" s="33" t="s">
        <v>429</v>
      </c>
      <c r="D67" s="46" t="s">
        <v>244</v>
      </c>
      <c r="E67" t="str">
        <f t="shared" si="7"/>
        <v>Head lettuce</v>
      </c>
      <c r="F67" s="15" t="s">
        <v>244</v>
      </c>
      <c r="G67" s="235">
        <v>1</v>
      </c>
      <c r="H67" s="199">
        <f t="shared" si="8"/>
        <v>1</v>
      </c>
      <c r="I67" s="473"/>
    </row>
    <row r="68" spans="1:9" x14ac:dyDescent="0.15">
      <c r="A68" s="15" t="s">
        <v>102</v>
      </c>
      <c r="B68" s="15" t="s">
        <v>115</v>
      </c>
      <c r="C68" s="33" t="s">
        <v>429</v>
      </c>
      <c r="D68" s="46" t="s">
        <v>244</v>
      </c>
      <c r="E68" t="str">
        <f t="shared" si="7"/>
        <v>Mushrooms</v>
      </c>
      <c r="F68" s="15" t="s">
        <v>244</v>
      </c>
      <c r="G68" s="235">
        <v>1</v>
      </c>
      <c r="H68" s="199">
        <f t="shared" si="8"/>
        <v>1</v>
      </c>
      <c r="I68" s="473"/>
    </row>
    <row r="69" spans="1:9" x14ac:dyDescent="0.15">
      <c r="A69" s="15" t="s">
        <v>102</v>
      </c>
      <c r="B69" s="15" t="s">
        <v>115</v>
      </c>
      <c r="C69" s="33" t="s">
        <v>431</v>
      </c>
      <c r="D69" s="46" t="s">
        <v>244</v>
      </c>
      <c r="E69" t="str">
        <f t="shared" si="7"/>
        <v>Mushrooms</v>
      </c>
      <c r="F69" s="15" t="s">
        <v>244</v>
      </c>
      <c r="G69" s="235">
        <v>1</v>
      </c>
      <c r="H69" s="199">
        <f t="shared" si="8"/>
        <v>1</v>
      </c>
      <c r="I69" s="473"/>
    </row>
    <row r="70" spans="1:9" x14ac:dyDescent="0.15">
      <c r="A70" s="15" t="s">
        <v>102</v>
      </c>
      <c r="B70" s="15" t="s">
        <v>116</v>
      </c>
      <c r="C70" s="33" t="s">
        <v>429</v>
      </c>
      <c r="D70" s="46" t="s">
        <v>244</v>
      </c>
      <c r="E70" t="str">
        <f t="shared" si="7"/>
        <v>Okra</v>
      </c>
      <c r="F70" s="15" t="s">
        <v>244</v>
      </c>
      <c r="G70" s="235">
        <v>1</v>
      </c>
      <c r="H70" s="199">
        <f t="shared" si="8"/>
        <v>1</v>
      </c>
      <c r="I70" s="473"/>
    </row>
    <row r="71" spans="1:9" x14ac:dyDescent="0.15">
      <c r="A71" s="15" t="s">
        <v>102</v>
      </c>
      <c r="B71" s="15" t="s">
        <v>117</v>
      </c>
      <c r="C71" s="33" t="s">
        <v>429</v>
      </c>
      <c r="D71" s="46" t="s">
        <v>244</v>
      </c>
      <c r="E71" t="str">
        <f t="shared" si="7"/>
        <v>Onions</v>
      </c>
      <c r="F71" s="15" t="s">
        <v>244</v>
      </c>
      <c r="G71" s="235">
        <v>1</v>
      </c>
      <c r="H71" s="199">
        <f t="shared" si="8"/>
        <v>1</v>
      </c>
      <c r="I71" s="473"/>
    </row>
    <row r="72" spans="1:9" x14ac:dyDescent="0.15">
      <c r="A72" s="15" t="s">
        <v>102</v>
      </c>
      <c r="B72" s="15" t="s">
        <v>117</v>
      </c>
      <c r="C72" s="33" t="s">
        <v>519</v>
      </c>
      <c r="D72" s="46" t="s">
        <v>244</v>
      </c>
      <c r="E72" t="str">
        <f t="shared" si="7"/>
        <v>Onions</v>
      </c>
      <c r="F72" s="15" t="s">
        <v>244</v>
      </c>
      <c r="G72" s="235">
        <v>1</v>
      </c>
      <c r="H72" s="199">
        <f t="shared" si="8"/>
        <v>1</v>
      </c>
      <c r="I72" s="473"/>
    </row>
    <row r="73" spans="1:9" x14ac:dyDescent="0.15">
      <c r="A73" s="15" t="s">
        <v>102</v>
      </c>
      <c r="B73" s="15" t="s">
        <v>118</v>
      </c>
      <c r="C73" s="33" t="s">
        <v>429</v>
      </c>
      <c r="D73" s="46" t="s">
        <v>244</v>
      </c>
      <c r="E73" t="str">
        <f t="shared" si="7"/>
        <v>Radishes</v>
      </c>
      <c r="F73" s="15" t="s">
        <v>244</v>
      </c>
      <c r="G73" s="235">
        <v>1</v>
      </c>
      <c r="H73" s="199">
        <f t="shared" si="8"/>
        <v>1</v>
      </c>
      <c r="I73" s="473"/>
    </row>
    <row r="74" spans="1:9" x14ac:dyDescent="0.15">
      <c r="A74" s="15" t="s">
        <v>102</v>
      </c>
      <c r="B74" s="15" t="s">
        <v>119</v>
      </c>
      <c r="C74" s="33" t="s">
        <v>429</v>
      </c>
      <c r="D74" s="46" t="s">
        <v>244</v>
      </c>
      <c r="E74" t="str">
        <f t="shared" si="7"/>
        <v>Snap beans</v>
      </c>
      <c r="F74" s="15" t="s">
        <v>244</v>
      </c>
      <c r="G74" s="235">
        <v>1</v>
      </c>
      <c r="H74" s="199">
        <f t="shared" si="8"/>
        <v>1</v>
      </c>
      <c r="I74" s="473"/>
    </row>
    <row r="75" spans="1:9" x14ac:dyDescent="0.15">
      <c r="A75" s="15" t="s">
        <v>102</v>
      </c>
      <c r="B75" s="15" t="s">
        <v>119</v>
      </c>
      <c r="C75" s="33" t="s">
        <v>431</v>
      </c>
      <c r="D75" s="46" t="s">
        <v>244</v>
      </c>
      <c r="E75" t="str">
        <f t="shared" si="7"/>
        <v>Snap beans</v>
      </c>
      <c r="F75" s="15" t="s">
        <v>244</v>
      </c>
      <c r="G75" s="235">
        <v>1</v>
      </c>
      <c r="H75" s="199">
        <f t="shared" si="8"/>
        <v>1</v>
      </c>
      <c r="I75" s="473"/>
    </row>
    <row r="76" spans="1:9" x14ac:dyDescent="0.15">
      <c r="A76" s="15" t="s">
        <v>102</v>
      </c>
      <c r="B76" s="15" t="s">
        <v>119</v>
      </c>
      <c r="C76" s="33" t="s">
        <v>432</v>
      </c>
      <c r="D76" s="46" t="s">
        <v>244</v>
      </c>
      <c r="E76" t="str">
        <f t="shared" si="7"/>
        <v>Snap beans</v>
      </c>
      <c r="F76" s="15" t="s">
        <v>244</v>
      </c>
      <c r="G76" s="235">
        <v>1</v>
      </c>
      <c r="H76" s="199">
        <f t="shared" si="8"/>
        <v>1</v>
      </c>
      <c r="I76" s="473"/>
    </row>
    <row r="77" spans="1:9" x14ac:dyDescent="0.15">
      <c r="A77" s="15" t="s">
        <v>102</v>
      </c>
      <c r="B77" s="15" t="s">
        <v>120</v>
      </c>
      <c r="C77" s="33" t="s">
        <v>429</v>
      </c>
      <c r="D77" s="46" t="s">
        <v>244</v>
      </c>
      <c r="E77" t="str">
        <f t="shared" si="7"/>
        <v>Summer Squa</v>
      </c>
      <c r="F77" s="15" t="s">
        <v>244</v>
      </c>
      <c r="G77" s="235">
        <v>1</v>
      </c>
      <c r="H77" s="199">
        <f t="shared" si="8"/>
        <v>1</v>
      </c>
      <c r="I77" s="473"/>
    </row>
    <row r="78" spans="1:9" s="308" customFormat="1" x14ac:dyDescent="0.15">
      <c r="A78" s="152" t="s">
        <v>696</v>
      </c>
      <c r="B78" s="152"/>
      <c r="C78" s="178"/>
      <c r="D78" s="152"/>
      <c r="E78" s="153"/>
      <c r="F78" s="152"/>
      <c r="G78" s="364"/>
      <c r="H78" s="364"/>
      <c r="I78" s="474"/>
    </row>
    <row r="79" spans="1:9" x14ac:dyDescent="0.15">
      <c r="A79" s="15" t="s">
        <v>123</v>
      </c>
      <c r="B79" s="15" t="s">
        <v>124</v>
      </c>
      <c r="C79" s="33" t="s">
        <v>429</v>
      </c>
      <c r="D79" s="46" t="s">
        <v>245</v>
      </c>
      <c r="E79" t="str">
        <f t="shared" ref="E79:E87" si="9">B79</f>
        <v>Orange</v>
      </c>
      <c r="F79" s="15" t="s">
        <v>244</v>
      </c>
      <c r="G79" s="235">
        <v>1</v>
      </c>
      <c r="H79" s="199">
        <f t="shared" ref="H79:H87" si="10">1/G79</f>
        <v>1</v>
      </c>
      <c r="I79" s="473"/>
    </row>
    <row r="80" spans="1:9" x14ac:dyDescent="0.15">
      <c r="A80" s="15" t="s">
        <v>123</v>
      </c>
      <c r="B80" s="15" t="s">
        <v>124</v>
      </c>
      <c r="C80" s="33" t="s">
        <v>554</v>
      </c>
      <c r="D80" s="46" t="s">
        <v>245</v>
      </c>
      <c r="E80" t="str">
        <f t="shared" si="9"/>
        <v>Orange</v>
      </c>
      <c r="F80" s="15" t="s">
        <v>244</v>
      </c>
      <c r="G80" s="235">
        <v>1</v>
      </c>
      <c r="H80" s="199">
        <f t="shared" si="10"/>
        <v>1</v>
      </c>
      <c r="I80" s="473"/>
    </row>
    <row r="81" spans="1:9" x14ac:dyDescent="0.15">
      <c r="A81" s="15" t="s">
        <v>123</v>
      </c>
      <c r="B81" s="15" t="s">
        <v>125</v>
      </c>
      <c r="C81" s="33" t="s">
        <v>429</v>
      </c>
      <c r="D81" s="46" t="s">
        <v>245</v>
      </c>
      <c r="E81" t="str">
        <f t="shared" si="9"/>
        <v>Grapefruit</v>
      </c>
      <c r="F81" s="15" t="s">
        <v>244</v>
      </c>
      <c r="G81" s="235">
        <v>1</v>
      </c>
      <c r="H81" s="199">
        <f t="shared" si="10"/>
        <v>1</v>
      </c>
      <c r="I81" s="473"/>
    </row>
    <row r="82" spans="1:9" x14ac:dyDescent="0.15">
      <c r="A82" s="15" t="s">
        <v>123</v>
      </c>
      <c r="B82" s="15" t="s">
        <v>125</v>
      </c>
      <c r="C82" s="33" t="s">
        <v>554</v>
      </c>
      <c r="D82" s="46" t="s">
        <v>245</v>
      </c>
      <c r="E82" t="str">
        <f t="shared" si="9"/>
        <v>Grapefruit</v>
      </c>
      <c r="F82" s="15" t="s">
        <v>244</v>
      </c>
      <c r="G82" s="235">
        <v>1</v>
      </c>
      <c r="H82" s="199">
        <f t="shared" si="10"/>
        <v>1</v>
      </c>
      <c r="I82" s="473"/>
    </row>
    <row r="83" spans="1:9" x14ac:dyDescent="0.15">
      <c r="A83" s="15" t="s">
        <v>123</v>
      </c>
      <c r="B83" s="15" t="s">
        <v>126</v>
      </c>
      <c r="C83" s="33" t="s">
        <v>429</v>
      </c>
      <c r="D83" s="46" t="s">
        <v>245</v>
      </c>
      <c r="E83" t="str">
        <f t="shared" si="9"/>
        <v>Lemons</v>
      </c>
      <c r="F83" s="15" t="s">
        <v>244</v>
      </c>
      <c r="G83" s="235">
        <v>1</v>
      </c>
      <c r="H83" s="199">
        <f t="shared" si="10"/>
        <v>1</v>
      </c>
      <c r="I83" s="473"/>
    </row>
    <row r="84" spans="1:9" x14ac:dyDescent="0.15">
      <c r="A84" s="15" t="s">
        <v>123</v>
      </c>
      <c r="B84" s="15" t="s">
        <v>126</v>
      </c>
      <c r="C84" s="33" t="s">
        <v>554</v>
      </c>
      <c r="D84" s="46" t="s">
        <v>245</v>
      </c>
      <c r="E84" t="str">
        <f t="shared" si="9"/>
        <v>Lemons</v>
      </c>
      <c r="F84" s="15" t="s">
        <v>244</v>
      </c>
      <c r="G84" s="235">
        <v>1</v>
      </c>
      <c r="H84" s="199">
        <f t="shared" si="10"/>
        <v>1</v>
      </c>
      <c r="I84" s="473"/>
    </row>
    <row r="85" spans="1:9" x14ac:dyDescent="0.15">
      <c r="A85" s="15" t="s">
        <v>123</v>
      </c>
      <c r="B85" s="15" t="s">
        <v>127</v>
      </c>
      <c r="C85" s="33" t="s">
        <v>429</v>
      </c>
      <c r="D85" s="46" t="s">
        <v>245</v>
      </c>
      <c r="E85" t="str">
        <f t="shared" si="9"/>
        <v>Limes</v>
      </c>
      <c r="F85" s="15" t="s">
        <v>244</v>
      </c>
      <c r="G85" s="235">
        <v>1</v>
      </c>
      <c r="H85" s="199">
        <f t="shared" si="10"/>
        <v>1</v>
      </c>
      <c r="I85" s="473"/>
    </row>
    <row r="86" spans="1:9" x14ac:dyDescent="0.15">
      <c r="A86" s="15" t="s">
        <v>123</v>
      </c>
      <c r="B86" s="15" t="s">
        <v>127</v>
      </c>
      <c r="C86" s="33" t="s">
        <v>554</v>
      </c>
      <c r="D86" s="46" t="s">
        <v>245</v>
      </c>
      <c r="E86" t="str">
        <f t="shared" si="9"/>
        <v>Limes</v>
      </c>
      <c r="F86" s="15" t="s">
        <v>244</v>
      </c>
      <c r="G86" s="235">
        <v>1</v>
      </c>
      <c r="H86" s="199">
        <f t="shared" si="10"/>
        <v>1</v>
      </c>
      <c r="I86" s="473"/>
    </row>
    <row r="87" spans="1:9" x14ac:dyDescent="0.15">
      <c r="A87" s="15" t="s">
        <v>123</v>
      </c>
      <c r="B87" s="15" t="s">
        <v>128</v>
      </c>
      <c r="C87" s="33" t="s">
        <v>429</v>
      </c>
      <c r="D87" s="46" t="s">
        <v>245</v>
      </c>
      <c r="E87" t="str">
        <f t="shared" si="9"/>
        <v>Tangerines</v>
      </c>
      <c r="F87" s="15" t="s">
        <v>244</v>
      </c>
      <c r="G87" s="235">
        <v>1</v>
      </c>
      <c r="H87" s="199">
        <f t="shared" si="10"/>
        <v>1</v>
      </c>
      <c r="I87" s="473"/>
    </row>
    <row r="88" spans="1:9" s="308" customFormat="1" x14ac:dyDescent="0.15">
      <c r="A88" s="365" t="s">
        <v>697</v>
      </c>
      <c r="B88" s="365"/>
      <c r="C88" s="366"/>
      <c r="D88" s="154"/>
      <c r="E88" s="367"/>
      <c r="F88" s="365"/>
      <c r="G88" s="368"/>
      <c r="H88" s="203"/>
      <c r="I88" s="473"/>
    </row>
    <row r="89" spans="1:9" x14ac:dyDescent="0.15">
      <c r="A89" s="15" t="s">
        <v>129</v>
      </c>
      <c r="B89" s="15" t="s">
        <v>130</v>
      </c>
      <c r="C89" s="33" t="s">
        <v>429</v>
      </c>
      <c r="D89" s="46" t="s">
        <v>245</v>
      </c>
      <c r="E89" t="str">
        <f>B89</f>
        <v>Apples</v>
      </c>
      <c r="F89" s="15" t="s">
        <v>244</v>
      </c>
      <c r="G89" s="235">
        <v>1</v>
      </c>
      <c r="H89" s="199">
        <f t="shared" ref="H89:H120" si="11">1/G89</f>
        <v>1</v>
      </c>
      <c r="I89" s="473"/>
    </row>
    <row r="90" spans="1:9" x14ac:dyDescent="0.15">
      <c r="A90" s="15" t="s">
        <v>129</v>
      </c>
      <c r="B90" s="15" t="s">
        <v>131</v>
      </c>
      <c r="C90" s="33" t="s">
        <v>431</v>
      </c>
      <c r="D90" s="46" t="s">
        <v>245</v>
      </c>
      <c r="E90" s="46" t="s">
        <v>130</v>
      </c>
      <c r="F90" s="15" t="s">
        <v>244</v>
      </c>
      <c r="G90" s="235">
        <v>1</v>
      </c>
      <c r="H90" s="199">
        <f t="shared" si="11"/>
        <v>1</v>
      </c>
      <c r="I90" s="473"/>
    </row>
    <row r="91" spans="1:9" x14ac:dyDescent="0.15">
      <c r="A91" s="15" t="s">
        <v>129</v>
      </c>
      <c r="B91" s="15" t="s">
        <v>130</v>
      </c>
      <c r="C91" s="33" t="s">
        <v>432</v>
      </c>
      <c r="D91" s="46" t="s">
        <v>245</v>
      </c>
      <c r="E91" t="str">
        <f t="shared" ref="E91:E138" si="12">B91</f>
        <v>Apples</v>
      </c>
      <c r="F91" s="15" t="s">
        <v>244</v>
      </c>
      <c r="G91" s="235">
        <v>1</v>
      </c>
      <c r="H91" s="199">
        <f t="shared" si="11"/>
        <v>1</v>
      </c>
      <c r="I91" s="473"/>
    </row>
    <row r="92" spans="1:9" x14ac:dyDescent="0.15">
      <c r="A92" s="15" t="s">
        <v>129</v>
      </c>
      <c r="B92" s="15" t="s">
        <v>130</v>
      </c>
      <c r="C92" s="33" t="s">
        <v>517</v>
      </c>
      <c r="D92" s="46" t="s">
        <v>245</v>
      </c>
      <c r="E92" t="str">
        <f t="shared" si="12"/>
        <v>Apples</v>
      </c>
      <c r="F92" s="15" t="s">
        <v>244</v>
      </c>
      <c r="G92" s="235">
        <v>1</v>
      </c>
      <c r="H92" s="199">
        <f t="shared" si="11"/>
        <v>1</v>
      </c>
      <c r="I92" s="473"/>
    </row>
    <row r="93" spans="1:9" x14ac:dyDescent="0.15">
      <c r="A93" s="15" t="s">
        <v>129</v>
      </c>
      <c r="B93" s="15" t="s">
        <v>130</v>
      </c>
      <c r="C93" s="33" t="s">
        <v>554</v>
      </c>
      <c r="D93" s="46" t="s">
        <v>245</v>
      </c>
      <c r="E93" t="str">
        <f t="shared" si="12"/>
        <v>Apples</v>
      </c>
      <c r="F93" s="15" t="s">
        <v>244</v>
      </c>
      <c r="G93" s="235">
        <v>1</v>
      </c>
      <c r="H93" s="199">
        <f t="shared" si="11"/>
        <v>1</v>
      </c>
      <c r="I93" s="473"/>
    </row>
    <row r="94" spans="1:9" x14ac:dyDescent="0.15">
      <c r="A94" s="15" t="s">
        <v>129</v>
      </c>
      <c r="B94" s="15" t="s">
        <v>132</v>
      </c>
      <c r="C94" s="33" t="s">
        <v>429</v>
      </c>
      <c r="D94" s="46" t="s">
        <v>245</v>
      </c>
      <c r="E94" t="str">
        <f t="shared" si="12"/>
        <v>Apricots</v>
      </c>
      <c r="F94" s="15" t="s">
        <v>244</v>
      </c>
      <c r="G94" s="235">
        <v>1</v>
      </c>
      <c r="H94" s="199">
        <f t="shared" si="11"/>
        <v>1</v>
      </c>
      <c r="I94" s="473"/>
    </row>
    <row r="95" spans="1:9" x14ac:dyDescent="0.15">
      <c r="A95" s="15" t="s">
        <v>129</v>
      </c>
      <c r="B95" s="15" t="s">
        <v>132</v>
      </c>
      <c r="C95" s="33" t="s">
        <v>431</v>
      </c>
      <c r="D95" s="46" t="s">
        <v>245</v>
      </c>
      <c r="E95" t="str">
        <f t="shared" si="12"/>
        <v>Apricots</v>
      </c>
      <c r="F95" s="15" t="s">
        <v>244</v>
      </c>
      <c r="G95" s="235">
        <v>1</v>
      </c>
      <c r="H95" s="199">
        <f t="shared" si="11"/>
        <v>1</v>
      </c>
      <c r="I95" s="473"/>
    </row>
    <row r="96" spans="1:9" x14ac:dyDescent="0.15">
      <c r="A96" s="15" t="s">
        <v>129</v>
      </c>
      <c r="B96" s="15" t="s">
        <v>132</v>
      </c>
      <c r="C96" s="33" t="s">
        <v>432</v>
      </c>
      <c r="D96" s="46" t="s">
        <v>245</v>
      </c>
      <c r="E96" t="str">
        <f t="shared" si="12"/>
        <v>Apricots</v>
      </c>
      <c r="F96" s="15" t="s">
        <v>244</v>
      </c>
      <c r="G96" s="235">
        <v>1</v>
      </c>
      <c r="H96" s="199">
        <f t="shared" si="11"/>
        <v>1</v>
      </c>
      <c r="I96" s="473"/>
    </row>
    <row r="97" spans="1:9" x14ac:dyDescent="0.15">
      <c r="A97" s="15" t="s">
        <v>129</v>
      </c>
      <c r="B97" s="15" t="s">
        <v>132</v>
      </c>
      <c r="C97" s="33" t="s">
        <v>517</v>
      </c>
      <c r="D97" s="46" t="s">
        <v>245</v>
      </c>
      <c r="E97" t="str">
        <f t="shared" si="12"/>
        <v>Apricots</v>
      </c>
      <c r="F97" s="15" t="s">
        <v>244</v>
      </c>
      <c r="G97" s="235">
        <v>1</v>
      </c>
      <c r="H97" s="199">
        <f t="shared" si="11"/>
        <v>1</v>
      </c>
      <c r="I97" s="473"/>
    </row>
    <row r="98" spans="1:9" x14ac:dyDescent="0.15">
      <c r="A98" s="15" t="s">
        <v>129</v>
      </c>
      <c r="B98" s="15" t="s">
        <v>133</v>
      </c>
      <c r="C98" s="33" t="s">
        <v>429</v>
      </c>
      <c r="D98" s="46" t="s">
        <v>245</v>
      </c>
      <c r="E98" t="str">
        <f t="shared" si="12"/>
        <v>Avocados</v>
      </c>
      <c r="F98" s="15" t="s">
        <v>244</v>
      </c>
      <c r="G98" s="235">
        <v>1</v>
      </c>
      <c r="H98" s="199">
        <f t="shared" si="11"/>
        <v>1</v>
      </c>
      <c r="I98" s="473"/>
    </row>
    <row r="99" spans="1:9" x14ac:dyDescent="0.15">
      <c r="A99" s="15" t="s">
        <v>129</v>
      </c>
      <c r="B99" s="15" t="s">
        <v>134</v>
      </c>
      <c r="C99" s="33" t="s">
        <v>429</v>
      </c>
      <c r="D99" s="46" t="s">
        <v>245</v>
      </c>
      <c r="E99" t="str">
        <f t="shared" si="12"/>
        <v>Bananas</v>
      </c>
      <c r="F99" s="15" t="s">
        <v>244</v>
      </c>
      <c r="G99" s="235">
        <v>1</v>
      </c>
      <c r="H99" s="199">
        <f t="shared" si="11"/>
        <v>1</v>
      </c>
      <c r="I99" s="473"/>
    </row>
    <row r="100" spans="1:9" x14ac:dyDescent="0.15">
      <c r="A100" s="15" t="s">
        <v>129</v>
      </c>
      <c r="B100" s="15" t="s">
        <v>135</v>
      </c>
      <c r="C100" s="33" t="s">
        <v>432</v>
      </c>
      <c r="D100" s="46" t="s">
        <v>245</v>
      </c>
      <c r="E100" t="str">
        <f t="shared" si="12"/>
        <v>Blackberries</v>
      </c>
      <c r="F100" s="15" t="s">
        <v>244</v>
      </c>
      <c r="G100" s="235">
        <v>1</v>
      </c>
      <c r="H100" s="199">
        <f t="shared" si="11"/>
        <v>1</v>
      </c>
      <c r="I100" s="473"/>
    </row>
    <row r="101" spans="1:9" x14ac:dyDescent="0.15">
      <c r="A101" s="15" t="s">
        <v>129</v>
      </c>
      <c r="B101" s="15" t="s">
        <v>136</v>
      </c>
      <c r="C101" s="33" t="s">
        <v>429</v>
      </c>
      <c r="D101" s="46" t="s">
        <v>245</v>
      </c>
      <c r="E101" t="str">
        <f t="shared" si="12"/>
        <v>Blueberries</v>
      </c>
      <c r="F101" s="15" t="s">
        <v>244</v>
      </c>
      <c r="G101" s="235">
        <v>1</v>
      </c>
      <c r="H101" s="199">
        <f t="shared" si="11"/>
        <v>1</v>
      </c>
      <c r="I101" s="473"/>
    </row>
    <row r="102" spans="1:9" x14ac:dyDescent="0.15">
      <c r="A102" s="15" t="s">
        <v>129</v>
      </c>
      <c r="B102" s="15" t="s">
        <v>136</v>
      </c>
      <c r="C102" s="33" t="s">
        <v>432</v>
      </c>
      <c r="D102" s="46" t="s">
        <v>245</v>
      </c>
      <c r="E102" t="str">
        <f t="shared" si="12"/>
        <v>Blueberries</v>
      </c>
      <c r="F102" s="15" t="s">
        <v>244</v>
      </c>
      <c r="G102" s="235">
        <v>1</v>
      </c>
      <c r="H102" s="199">
        <f t="shared" si="11"/>
        <v>1</v>
      </c>
      <c r="I102" s="473"/>
    </row>
    <row r="103" spans="1:9" x14ac:dyDescent="0.15">
      <c r="A103" s="15" t="s">
        <v>129</v>
      </c>
      <c r="B103" s="15" t="s">
        <v>137</v>
      </c>
      <c r="C103" s="33" t="s">
        <v>429</v>
      </c>
      <c r="D103" s="46" t="s">
        <v>245</v>
      </c>
      <c r="E103" t="str">
        <f t="shared" si="12"/>
        <v>Cantaloup</v>
      </c>
      <c r="F103" s="15" t="s">
        <v>244</v>
      </c>
      <c r="G103" s="235">
        <v>1</v>
      </c>
      <c r="H103" s="199">
        <f t="shared" si="11"/>
        <v>1</v>
      </c>
      <c r="I103" s="473"/>
    </row>
    <row r="104" spans="1:9" x14ac:dyDescent="0.15">
      <c r="A104" s="15" t="s">
        <v>129</v>
      </c>
      <c r="B104" s="15" t="s">
        <v>138</v>
      </c>
      <c r="C104" s="33" t="s">
        <v>429</v>
      </c>
      <c r="D104" s="46" t="s">
        <v>245</v>
      </c>
      <c r="E104" t="str">
        <f t="shared" si="12"/>
        <v>Cherries</v>
      </c>
      <c r="F104" s="15" t="s">
        <v>244</v>
      </c>
      <c r="G104" s="235">
        <v>1</v>
      </c>
      <c r="H104" s="199">
        <f t="shared" si="11"/>
        <v>1</v>
      </c>
      <c r="I104" s="473"/>
    </row>
    <row r="105" spans="1:9" x14ac:dyDescent="0.15">
      <c r="A105" s="15" t="s">
        <v>129</v>
      </c>
      <c r="B105" s="15" t="s">
        <v>138</v>
      </c>
      <c r="C105" s="33" t="s">
        <v>431</v>
      </c>
      <c r="D105" s="46" t="s">
        <v>245</v>
      </c>
      <c r="E105" t="str">
        <f t="shared" si="12"/>
        <v>Cherries</v>
      </c>
      <c r="F105" s="15" t="s">
        <v>244</v>
      </c>
      <c r="G105" s="235">
        <v>1</v>
      </c>
      <c r="H105" s="199">
        <f t="shared" si="11"/>
        <v>1</v>
      </c>
      <c r="I105" s="473"/>
    </row>
    <row r="106" spans="1:9" x14ac:dyDescent="0.15">
      <c r="A106" s="15" t="s">
        <v>129</v>
      </c>
      <c r="B106" s="15" t="s">
        <v>138</v>
      </c>
      <c r="C106" s="33" t="s">
        <v>432</v>
      </c>
      <c r="D106" s="46" t="s">
        <v>245</v>
      </c>
      <c r="E106" t="str">
        <f t="shared" si="12"/>
        <v>Cherries</v>
      </c>
      <c r="F106" s="15" t="s">
        <v>244</v>
      </c>
      <c r="G106" s="235">
        <v>1</v>
      </c>
      <c r="H106" s="199">
        <f t="shared" si="11"/>
        <v>1</v>
      </c>
      <c r="I106" s="473"/>
    </row>
    <row r="107" spans="1:9" x14ac:dyDescent="0.15">
      <c r="A107" s="15" t="s">
        <v>129</v>
      </c>
      <c r="B107" s="15" t="s">
        <v>139</v>
      </c>
      <c r="C107" s="33" t="s">
        <v>429</v>
      </c>
      <c r="D107" s="46" t="s">
        <v>245</v>
      </c>
      <c r="E107" t="str">
        <f t="shared" si="12"/>
        <v>Cranberries</v>
      </c>
      <c r="F107" s="15" t="s">
        <v>244</v>
      </c>
      <c r="G107" s="235">
        <v>1</v>
      </c>
      <c r="H107" s="199">
        <f t="shared" si="11"/>
        <v>1</v>
      </c>
      <c r="I107" s="473"/>
    </row>
    <row r="108" spans="1:9" x14ac:dyDescent="0.15">
      <c r="A108" s="15" t="s">
        <v>129</v>
      </c>
      <c r="B108" s="15" t="s">
        <v>139</v>
      </c>
      <c r="C108" s="33" t="s">
        <v>554</v>
      </c>
      <c r="D108" s="46" t="s">
        <v>245</v>
      </c>
      <c r="E108" t="str">
        <f t="shared" si="12"/>
        <v>Cranberries</v>
      </c>
      <c r="F108" s="15" t="s">
        <v>244</v>
      </c>
      <c r="G108" s="235">
        <v>1</v>
      </c>
      <c r="H108" s="199">
        <f t="shared" si="11"/>
        <v>1</v>
      </c>
      <c r="I108" s="473"/>
    </row>
    <row r="109" spans="1:9" x14ac:dyDescent="0.15">
      <c r="A109" s="15" t="s">
        <v>129</v>
      </c>
      <c r="B109" s="15" t="s">
        <v>140</v>
      </c>
      <c r="C109" s="33" t="s">
        <v>517</v>
      </c>
      <c r="D109" s="46" t="s">
        <v>245</v>
      </c>
      <c r="E109" t="str">
        <f t="shared" si="12"/>
        <v>Dates</v>
      </c>
      <c r="F109" s="15" t="s">
        <v>244</v>
      </c>
      <c r="G109" s="235">
        <v>1</v>
      </c>
      <c r="H109" s="199">
        <f t="shared" si="11"/>
        <v>1</v>
      </c>
      <c r="I109" s="473"/>
    </row>
    <row r="110" spans="1:9" x14ac:dyDescent="0.15">
      <c r="A110" s="15" t="s">
        <v>129</v>
      </c>
      <c r="B110" s="15" t="s">
        <v>141</v>
      </c>
      <c r="C110" s="33" t="s">
        <v>517</v>
      </c>
      <c r="D110" s="46" t="s">
        <v>245</v>
      </c>
      <c r="E110" t="str">
        <f t="shared" si="12"/>
        <v>Figs</v>
      </c>
      <c r="F110" s="15" t="s">
        <v>244</v>
      </c>
      <c r="G110" s="235">
        <v>1</v>
      </c>
      <c r="H110" s="199">
        <f t="shared" si="11"/>
        <v>1</v>
      </c>
      <c r="I110" s="473"/>
    </row>
    <row r="111" spans="1:9" x14ac:dyDescent="0.15">
      <c r="A111" s="15" t="s">
        <v>129</v>
      </c>
      <c r="B111" s="15" t="s">
        <v>142</v>
      </c>
      <c r="C111" s="33" t="s">
        <v>429</v>
      </c>
      <c r="D111" s="46" t="s">
        <v>245</v>
      </c>
      <c r="E111" t="str">
        <f t="shared" si="12"/>
        <v>Grapes</v>
      </c>
      <c r="F111" s="15" t="s">
        <v>244</v>
      </c>
      <c r="G111" s="235">
        <v>1</v>
      </c>
      <c r="H111" s="199">
        <f t="shared" si="11"/>
        <v>1</v>
      </c>
      <c r="I111" s="473"/>
    </row>
    <row r="112" spans="1:9" x14ac:dyDescent="0.15">
      <c r="A112" s="15" t="s">
        <v>129</v>
      </c>
      <c r="B112" s="15" t="s">
        <v>142</v>
      </c>
      <c r="C112" s="33" t="s">
        <v>554</v>
      </c>
      <c r="D112" s="46" t="s">
        <v>245</v>
      </c>
      <c r="E112" t="str">
        <f t="shared" si="12"/>
        <v>Grapes</v>
      </c>
      <c r="F112" s="15" t="s">
        <v>244</v>
      </c>
      <c r="G112" s="235">
        <v>1</v>
      </c>
      <c r="H112" s="199">
        <f t="shared" si="11"/>
        <v>1</v>
      </c>
      <c r="I112" s="473"/>
    </row>
    <row r="113" spans="1:9" x14ac:dyDescent="0.15">
      <c r="A113" s="15" t="s">
        <v>129</v>
      </c>
      <c r="B113" s="15" t="s">
        <v>143</v>
      </c>
      <c r="C113" s="33" t="s">
        <v>429</v>
      </c>
      <c r="D113" s="46" t="s">
        <v>245</v>
      </c>
      <c r="E113" t="str">
        <f t="shared" si="12"/>
        <v>Honeydew melons</v>
      </c>
      <c r="F113" s="15" t="s">
        <v>244</v>
      </c>
      <c r="G113" s="235">
        <v>1</v>
      </c>
      <c r="H113" s="199">
        <f t="shared" si="11"/>
        <v>1</v>
      </c>
      <c r="I113" s="473"/>
    </row>
    <row r="114" spans="1:9" x14ac:dyDescent="0.15">
      <c r="A114" s="15" t="s">
        <v>129</v>
      </c>
      <c r="B114" s="15" t="s">
        <v>144</v>
      </c>
      <c r="C114" s="33" t="s">
        <v>429</v>
      </c>
      <c r="D114" s="46" t="s">
        <v>245</v>
      </c>
      <c r="E114" t="str">
        <f t="shared" si="12"/>
        <v>Kiwifruit</v>
      </c>
      <c r="F114" s="15" t="s">
        <v>244</v>
      </c>
      <c r="G114" s="235">
        <v>1</v>
      </c>
      <c r="H114" s="199">
        <f t="shared" si="11"/>
        <v>1</v>
      </c>
      <c r="I114" s="473"/>
    </row>
    <row r="115" spans="1:9" x14ac:dyDescent="0.15">
      <c r="A115" s="15" t="s">
        <v>129</v>
      </c>
      <c r="B115" s="15" t="s">
        <v>145</v>
      </c>
      <c r="C115" s="33" t="s">
        <v>429</v>
      </c>
      <c r="D115" s="46" t="s">
        <v>245</v>
      </c>
      <c r="E115" t="str">
        <f t="shared" si="12"/>
        <v>Mangoes</v>
      </c>
      <c r="F115" s="15" t="s">
        <v>244</v>
      </c>
      <c r="G115" s="235">
        <v>1</v>
      </c>
      <c r="H115" s="199">
        <f t="shared" si="11"/>
        <v>1</v>
      </c>
      <c r="I115" s="473"/>
    </row>
    <row r="116" spans="1:9" x14ac:dyDescent="0.15">
      <c r="A116" s="15" t="s">
        <v>129</v>
      </c>
      <c r="B116" s="15" t="s">
        <v>146</v>
      </c>
      <c r="C116" s="33" t="s">
        <v>431</v>
      </c>
      <c r="D116" s="46" t="s">
        <v>245</v>
      </c>
      <c r="E116" t="str">
        <f t="shared" si="12"/>
        <v>Olives</v>
      </c>
      <c r="F116" s="15" t="s">
        <v>244</v>
      </c>
      <c r="G116" s="235">
        <v>1</v>
      </c>
      <c r="H116" s="199">
        <f t="shared" si="11"/>
        <v>1</v>
      </c>
      <c r="I116" s="473"/>
    </row>
    <row r="117" spans="1:9" x14ac:dyDescent="0.15">
      <c r="A117" s="15" t="s">
        <v>129</v>
      </c>
      <c r="B117" s="15" t="s">
        <v>147</v>
      </c>
      <c r="C117" s="33" t="s">
        <v>429</v>
      </c>
      <c r="D117" s="46" t="s">
        <v>245</v>
      </c>
      <c r="E117" t="str">
        <f t="shared" si="12"/>
        <v>Peaches</v>
      </c>
      <c r="F117" s="15" t="s">
        <v>244</v>
      </c>
      <c r="G117" s="235">
        <v>1</v>
      </c>
      <c r="H117" s="199">
        <f t="shared" si="11"/>
        <v>1</v>
      </c>
      <c r="I117" s="473"/>
    </row>
    <row r="118" spans="1:9" x14ac:dyDescent="0.15">
      <c r="A118" s="15" t="s">
        <v>129</v>
      </c>
      <c r="B118" s="15" t="s">
        <v>147</v>
      </c>
      <c r="C118" s="33" t="s">
        <v>431</v>
      </c>
      <c r="D118" s="46" t="s">
        <v>245</v>
      </c>
      <c r="E118" t="str">
        <f t="shared" si="12"/>
        <v>Peaches</v>
      </c>
      <c r="F118" s="15" t="s">
        <v>244</v>
      </c>
      <c r="G118" s="235">
        <v>1</v>
      </c>
      <c r="H118" s="199">
        <f t="shared" si="11"/>
        <v>1</v>
      </c>
      <c r="I118" s="473"/>
    </row>
    <row r="119" spans="1:9" x14ac:dyDescent="0.15">
      <c r="A119" s="15" t="s">
        <v>129</v>
      </c>
      <c r="B119" s="15" t="s">
        <v>147</v>
      </c>
      <c r="C119" s="33" t="s">
        <v>432</v>
      </c>
      <c r="D119" s="46" t="s">
        <v>245</v>
      </c>
      <c r="E119" t="str">
        <f t="shared" si="12"/>
        <v>Peaches</v>
      </c>
      <c r="F119" s="15" t="s">
        <v>244</v>
      </c>
      <c r="G119" s="235">
        <v>1</v>
      </c>
      <c r="H119" s="199">
        <f t="shared" si="11"/>
        <v>1</v>
      </c>
      <c r="I119" s="473"/>
    </row>
    <row r="120" spans="1:9" x14ac:dyDescent="0.15">
      <c r="A120" s="15" t="s">
        <v>129</v>
      </c>
      <c r="B120" s="15" t="s">
        <v>147</v>
      </c>
      <c r="C120" s="33" t="s">
        <v>517</v>
      </c>
      <c r="D120" s="46" t="s">
        <v>245</v>
      </c>
      <c r="E120" t="str">
        <f t="shared" si="12"/>
        <v>Peaches</v>
      </c>
      <c r="F120" s="15" t="s">
        <v>244</v>
      </c>
      <c r="G120" s="235">
        <v>1</v>
      </c>
      <c r="H120" s="199">
        <f t="shared" si="11"/>
        <v>1</v>
      </c>
      <c r="I120" s="473"/>
    </row>
    <row r="121" spans="1:9" x14ac:dyDescent="0.15">
      <c r="A121" s="15" t="s">
        <v>129</v>
      </c>
      <c r="B121" s="15" t="s">
        <v>148</v>
      </c>
      <c r="C121" s="33" t="s">
        <v>429</v>
      </c>
      <c r="D121" s="46" t="s">
        <v>245</v>
      </c>
      <c r="E121" t="str">
        <f t="shared" si="12"/>
        <v>Pears</v>
      </c>
      <c r="F121" s="15" t="s">
        <v>244</v>
      </c>
      <c r="G121" s="235">
        <v>1</v>
      </c>
      <c r="H121" s="199">
        <f t="shared" ref="H121:H138" si="13">1/G121</f>
        <v>1</v>
      </c>
      <c r="I121" s="473"/>
    </row>
    <row r="122" spans="1:9" x14ac:dyDescent="0.15">
      <c r="A122" s="15" t="s">
        <v>129</v>
      </c>
      <c r="B122" s="15" t="s">
        <v>148</v>
      </c>
      <c r="C122" s="33" t="s">
        <v>431</v>
      </c>
      <c r="D122" s="46" t="s">
        <v>245</v>
      </c>
      <c r="E122" t="str">
        <f t="shared" si="12"/>
        <v>Pears</v>
      </c>
      <c r="F122" s="15" t="s">
        <v>244</v>
      </c>
      <c r="G122" s="235">
        <v>1</v>
      </c>
      <c r="H122" s="199">
        <f t="shared" si="13"/>
        <v>1</v>
      </c>
      <c r="I122" s="473"/>
    </row>
    <row r="123" spans="1:9" x14ac:dyDescent="0.15">
      <c r="A123" s="15" t="s">
        <v>129</v>
      </c>
      <c r="B123" s="15" t="s">
        <v>148</v>
      </c>
      <c r="C123" s="33" t="s">
        <v>517</v>
      </c>
      <c r="D123" s="46" t="s">
        <v>245</v>
      </c>
      <c r="E123" t="str">
        <f t="shared" si="12"/>
        <v>Pears</v>
      </c>
      <c r="F123" s="15" t="s">
        <v>244</v>
      </c>
      <c r="G123" s="235">
        <v>1</v>
      </c>
      <c r="H123" s="199">
        <f t="shared" si="13"/>
        <v>1</v>
      </c>
      <c r="I123" s="473"/>
    </row>
    <row r="124" spans="1:9" x14ac:dyDescent="0.15">
      <c r="A124" s="15" t="s">
        <v>129</v>
      </c>
      <c r="B124" s="15" t="s">
        <v>149</v>
      </c>
      <c r="C124" s="33" t="s">
        <v>429</v>
      </c>
      <c r="D124" s="46" t="s">
        <v>245</v>
      </c>
      <c r="E124" t="str">
        <f t="shared" si="12"/>
        <v>Pineapple</v>
      </c>
      <c r="F124" s="15" t="s">
        <v>244</v>
      </c>
      <c r="G124" s="235">
        <v>1</v>
      </c>
      <c r="H124" s="199">
        <f t="shared" si="13"/>
        <v>1</v>
      </c>
      <c r="I124" s="473"/>
    </row>
    <row r="125" spans="1:9" x14ac:dyDescent="0.15">
      <c r="A125" s="15" t="s">
        <v>129</v>
      </c>
      <c r="B125" s="15" t="s">
        <v>149</v>
      </c>
      <c r="C125" s="33" t="s">
        <v>431</v>
      </c>
      <c r="D125" s="46" t="s">
        <v>245</v>
      </c>
      <c r="E125" t="str">
        <f t="shared" si="12"/>
        <v>Pineapple</v>
      </c>
      <c r="F125" s="15" t="s">
        <v>244</v>
      </c>
      <c r="G125" s="235">
        <v>1</v>
      </c>
      <c r="H125" s="199">
        <f t="shared" si="13"/>
        <v>1</v>
      </c>
      <c r="I125" s="473"/>
    </row>
    <row r="126" spans="1:9" x14ac:dyDescent="0.15">
      <c r="A126" s="15" t="s">
        <v>129</v>
      </c>
      <c r="B126" s="15" t="s">
        <v>149</v>
      </c>
      <c r="C126" s="33" t="s">
        <v>554</v>
      </c>
      <c r="D126" s="46" t="s">
        <v>245</v>
      </c>
      <c r="E126" t="str">
        <f t="shared" si="12"/>
        <v>Pineapple</v>
      </c>
      <c r="F126" s="15" t="s">
        <v>244</v>
      </c>
      <c r="G126" s="235">
        <v>1</v>
      </c>
      <c r="H126" s="199">
        <f t="shared" si="13"/>
        <v>1</v>
      </c>
      <c r="I126" s="473"/>
    </row>
    <row r="127" spans="1:9" x14ac:dyDescent="0.15">
      <c r="A127" s="15" t="s">
        <v>129</v>
      </c>
      <c r="B127" s="15" t="s">
        <v>150</v>
      </c>
      <c r="C127" s="33" t="s">
        <v>429</v>
      </c>
      <c r="D127" s="46" t="s">
        <v>245</v>
      </c>
      <c r="E127" t="str">
        <f t="shared" si="12"/>
        <v>Papayas</v>
      </c>
      <c r="F127" s="15" t="s">
        <v>244</v>
      </c>
      <c r="G127" s="235">
        <v>1</v>
      </c>
      <c r="H127" s="199">
        <f t="shared" si="13"/>
        <v>1</v>
      </c>
      <c r="I127" s="473"/>
    </row>
    <row r="128" spans="1:9" x14ac:dyDescent="0.15">
      <c r="A128" s="15" t="s">
        <v>129</v>
      </c>
      <c r="B128" s="15" t="s">
        <v>151</v>
      </c>
      <c r="C128" s="33" t="s">
        <v>429</v>
      </c>
      <c r="D128" s="46" t="s">
        <v>245</v>
      </c>
      <c r="E128" t="str">
        <f t="shared" si="12"/>
        <v>Plums</v>
      </c>
      <c r="F128" s="15" t="s">
        <v>244</v>
      </c>
      <c r="G128" s="235">
        <v>1</v>
      </c>
      <c r="H128" s="199">
        <f t="shared" si="13"/>
        <v>1</v>
      </c>
      <c r="I128" s="473"/>
    </row>
    <row r="129" spans="1:9" x14ac:dyDescent="0.15">
      <c r="A129" s="15" t="s">
        <v>129</v>
      </c>
      <c r="B129" s="15" t="s">
        <v>151</v>
      </c>
      <c r="C129" s="33" t="s">
        <v>431</v>
      </c>
      <c r="D129" s="46" t="s">
        <v>245</v>
      </c>
      <c r="E129" t="str">
        <f t="shared" si="12"/>
        <v>Plums</v>
      </c>
      <c r="F129" s="15" t="s">
        <v>244</v>
      </c>
      <c r="G129" s="235">
        <v>1</v>
      </c>
      <c r="H129" s="199">
        <f t="shared" si="13"/>
        <v>1</v>
      </c>
      <c r="I129" s="473"/>
    </row>
    <row r="130" spans="1:9" x14ac:dyDescent="0.15">
      <c r="A130" s="15" t="s">
        <v>129</v>
      </c>
      <c r="B130" s="15" t="s">
        <v>152</v>
      </c>
      <c r="C130" s="33" t="s">
        <v>432</v>
      </c>
      <c r="D130" s="46" t="s">
        <v>245</v>
      </c>
      <c r="E130" t="str">
        <f t="shared" si="12"/>
        <v>Plums &amp; Prunes</v>
      </c>
      <c r="F130" s="15" t="s">
        <v>244</v>
      </c>
      <c r="G130" s="235">
        <v>1</v>
      </c>
      <c r="H130" s="199">
        <f t="shared" si="13"/>
        <v>1</v>
      </c>
      <c r="I130" s="473"/>
    </row>
    <row r="131" spans="1:9" x14ac:dyDescent="0.15">
      <c r="A131" s="15" t="s">
        <v>129</v>
      </c>
      <c r="B131" s="15" t="s">
        <v>151</v>
      </c>
      <c r="C131" s="33" t="s">
        <v>517</v>
      </c>
      <c r="D131" s="46" t="s">
        <v>245</v>
      </c>
      <c r="E131" t="str">
        <f t="shared" si="12"/>
        <v>Plums</v>
      </c>
      <c r="F131" s="15" t="s">
        <v>244</v>
      </c>
      <c r="G131" s="235">
        <v>1</v>
      </c>
      <c r="H131" s="199">
        <f t="shared" si="13"/>
        <v>1</v>
      </c>
      <c r="I131" s="473"/>
    </row>
    <row r="132" spans="1:9" x14ac:dyDescent="0.15">
      <c r="A132" s="15" t="s">
        <v>129</v>
      </c>
      <c r="B132" s="15" t="s">
        <v>153</v>
      </c>
      <c r="C132" s="33" t="s">
        <v>554</v>
      </c>
      <c r="D132" s="46" t="s">
        <v>245</v>
      </c>
      <c r="E132" t="str">
        <f t="shared" si="12"/>
        <v>Prunes</v>
      </c>
      <c r="F132" s="15" t="s">
        <v>244</v>
      </c>
      <c r="G132" s="235">
        <v>1</v>
      </c>
      <c r="H132" s="199">
        <f t="shared" si="13"/>
        <v>1</v>
      </c>
      <c r="I132" s="473"/>
    </row>
    <row r="133" spans="1:9" x14ac:dyDescent="0.15">
      <c r="A133" s="15" t="s">
        <v>129</v>
      </c>
      <c r="B133" s="15" t="s">
        <v>154</v>
      </c>
      <c r="C133" s="33" t="s">
        <v>517</v>
      </c>
      <c r="D133" s="46" t="s">
        <v>245</v>
      </c>
      <c r="E133" t="str">
        <f t="shared" si="12"/>
        <v>Raisins</v>
      </c>
      <c r="F133" s="15" t="s">
        <v>244</v>
      </c>
      <c r="G133" s="235">
        <v>1</v>
      </c>
      <c r="H133" s="199">
        <f t="shared" si="13"/>
        <v>1</v>
      </c>
      <c r="I133" s="473"/>
    </row>
    <row r="134" spans="1:9" x14ac:dyDescent="0.15">
      <c r="A134" s="15" t="s">
        <v>129</v>
      </c>
      <c r="B134" s="15" t="s">
        <v>155</v>
      </c>
      <c r="C134" s="33" t="s">
        <v>429</v>
      </c>
      <c r="D134" s="46" t="s">
        <v>245</v>
      </c>
      <c r="E134" t="str">
        <f t="shared" si="12"/>
        <v>Raspberry</v>
      </c>
      <c r="F134" s="15" t="s">
        <v>244</v>
      </c>
      <c r="G134" s="235">
        <v>1</v>
      </c>
      <c r="H134" s="199">
        <f t="shared" si="13"/>
        <v>1</v>
      </c>
      <c r="I134" s="473"/>
    </row>
    <row r="135" spans="1:9" x14ac:dyDescent="0.15">
      <c r="A135" s="15" t="s">
        <v>129</v>
      </c>
      <c r="B135" s="15" t="s">
        <v>155</v>
      </c>
      <c r="C135" s="33" t="s">
        <v>432</v>
      </c>
      <c r="D135" s="46" t="s">
        <v>245</v>
      </c>
      <c r="E135" t="str">
        <f t="shared" si="12"/>
        <v>Raspberry</v>
      </c>
      <c r="F135" s="15" t="s">
        <v>244</v>
      </c>
      <c r="G135" s="235">
        <v>1</v>
      </c>
      <c r="H135" s="199">
        <f t="shared" si="13"/>
        <v>1</v>
      </c>
      <c r="I135" s="473"/>
    </row>
    <row r="136" spans="1:9" x14ac:dyDescent="0.15">
      <c r="A136" s="15" t="s">
        <v>129</v>
      </c>
      <c r="B136" s="15" t="s">
        <v>156</v>
      </c>
      <c r="C136" s="33" t="s">
        <v>429</v>
      </c>
      <c r="D136" s="46" t="s">
        <v>245</v>
      </c>
      <c r="E136" t="str">
        <f t="shared" si="12"/>
        <v>Strawberries</v>
      </c>
      <c r="F136" s="15" t="s">
        <v>244</v>
      </c>
      <c r="G136" s="235">
        <v>1</v>
      </c>
      <c r="H136" s="199">
        <f t="shared" si="13"/>
        <v>1</v>
      </c>
      <c r="I136" s="473"/>
    </row>
    <row r="137" spans="1:9" x14ac:dyDescent="0.15">
      <c r="A137" s="15" t="s">
        <v>129</v>
      </c>
      <c r="B137" s="15" t="s">
        <v>156</v>
      </c>
      <c r="C137" s="33" t="s">
        <v>432</v>
      </c>
      <c r="D137" s="46" t="s">
        <v>245</v>
      </c>
      <c r="E137" t="str">
        <f t="shared" si="12"/>
        <v>Strawberries</v>
      </c>
      <c r="F137" s="15" t="s">
        <v>244</v>
      </c>
      <c r="G137" s="235">
        <v>1</v>
      </c>
      <c r="H137" s="199">
        <f t="shared" si="13"/>
        <v>1</v>
      </c>
      <c r="I137" s="473"/>
    </row>
    <row r="138" spans="1:9" x14ac:dyDescent="0.15">
      <c r="A138" s="315" t="s">
        <v>129</v>
      </c>
      <c r="B138" s="315" t="s">
        <v>157</v>
      </c>
      <c r="C138" s="99" t="s">
        <v>429</v>
      </c>
      <c r="D138" s="309" t="s">
        <v>245</v>
      </c>
      <c r="E138" s="313" t="str">
        <f t="shared" si="12"/>
        <v>Watermelon</v>
      </c>
      <c r="F138" s="315" t="s">
        <v>244</v>
      </c>
      <c r="G138" s="199">
        <v>1</v>
      </c>
      <c r="H138" s="199">
        <f t="shared" si="13"/>
        <v>1</v>
      </c>
      <c r="I138" s="473"/>
    </row>
    <row r="139" spans="1:9" s="308" customFormat="1" x14ac:dyDescent="0.15">
      <c r="A139" s="152" t="s">
        <v>698</v>
      </c>
      <c r="B139" s="152"/>
      <c r="C139" s="178"/>
      <c r="D139" s="152"/>
      <c r="E139" s="153"/>
      <c r="F139" s="152"/>
      <c r="G139" s="364"/>
      <c r="H139" s="364"/>
      <c r="I139" s="474"/>
    </row>
    <row r="140" spans="1:9" x14ac:dyDescent="0.15">
      <c r="A140" s="15" t="s">
        <v>7</v>
      </c>
      <c r="B140" s="15" t="s">
        <v>188</v>
      </c>
      <c r="C140" s="33" t="s">
        <v>1009</v>
      </c>
      <c r="D140" s="46" t="s">
        <v>238</v>
      </c>
      <c r="E140" s="46" t="s">
        <v>256</v>
      </c>
      <c r="F140" s="311" t="str">
        <f>IF('Dairy processing conversions'!L$42&gt;'Dairy processing conversions'!M$42,"Farm weight (milk fat equivalent basis)","Farm weight (skim solids basis)")</f>
        <v>Farm weight (milk fat equivalent basis)</v>
      </c>
      <c r="G140" s="305">
        <f>IF(F140="Farm weight (milk fat equivalent basis)",Fat_content/'Dairy processing conversions'!C3,Skimsolid_content/'Dairy processing conversions'!D3)</f>
        <v>1.1212121212121211</v>
      </c>
      <c r="H140" s="317">
        <f t="shared" ref="H140:H170" si="14">1/G140</f>
        <v>0.891891891891892</v>
      </c>
      <c r="I140" s="473"/>
    </row>
    <row r="141" spans="1:9" x14ac:dyDescent="0.15">
      <c r="A141" s="15" t="s">
        <v>7</v>
      </c>
      <c r="B141" s="15" t="s">
        <v>188</v>
      </c>
      <c r="C141" s="33" t="s">
        <v>1010</v>
      </c>
      <c r="D141" s="46" t="s">
        <v>238</v>
      </c>
      <c r="E141" s="46" t="s">
        <v>256</v>
      </c>
      <c r="F141" s="311" t="str">
        <f>IF('Dairy processing conversions'!L$42&gt;'Dairy processing conversions'!M$42,"Farm weight (milk fat equivalent basis)","Farm weight (skim solids basis)")</f>
        <v>Farm weight (milk fat equivalent basis)</v>
      </c>
      <c r="G141" s="305">
        <f>IF(F141="Farm weight (milk fat equivalent basis)",Fat_content/'Dairy processing conversions'!C4,Skimsolid_content/'Dairy processing conversions'!D4)</f>
        <v>1.8686868686868685</v>
      </c>
      <c r="H141" s="317">
        <f t="shared" si="14"/>
        <v>0.53513513513513522</v>
      </c>
      <c r="I141" s="473"/>
    </row>
    <row r="142" spans="1:9" x14ac:dyDescent="0.15">
      <c r="A142" s="15" t="s">
        <v>7</v>
      </c>
      <c r="B142" s="15" t="s">
        <v>188</v>
      </c>
      <c r="C142" s="33" t="s">
        <v>1011</v>
      </c>
      <c r="D142" s="46" t="s">
        <v>238</v>
      </c>
      <c r="E142" s="46" t="s">
        <v>256</v>
      </c>
      <c r="F142" s="311" t="str">
        <f>IF('Dairy processing conversions'!L$42&gt;'Dairy processing conversions'!M$42,"Farm weight (milk fat equivalent basis)","Farm weight (skim solids basis)")</f>
        <v>Farm weight (milk fat equivalent basis)</v>
      </c>
      <c r="G142" s="305">
        <f>IF(F142="Farm weight (milk fat equivalent basis)",Fat_content/'Dairy processing conversions'!C5,Skimsolid_content/'Dairy processing conversions'!D5)</f>
        <v>3.8144329896907214</v>
      </c>
      <c r="H142" s="317">
        <f t="shared" si="14"/>
        <v>0.2621621621621622</v>
      </c>
      <c r="I142" s="473"/>
    </row>
    <row r="143" spans="1:9" x14ac:dyDescent="0.15">
      <c r="A143" s="15" t="s">
        <v>7</v>
      </c>
      <c r="B143" s="15" t="s">
        <v>188</v>
      </c>
      <c r="C143" s="33" t="s">
        <v>1012</v>
      </c>
      <c r="D143" s="46" t="s">
        <v>238</v>
      </c>
      <c r="E143" s="46" t="s">
        <v>256</v>
      </c>
      <c r="F143" s="311" t="str">
        <f>IF('Dairy processing conversions'!L$42&gt;'Dairy processing conversions'!M$42,"Farm weight (milk fat equivalent basis)","Farm weight (skim solids basis)")</f>
        <v>Farm weight (milk fat equivalent basis)</v>
      </c>
      <c r="G143" s="305">
        <f>IF(F143="Farm weight (milk fat equivalent basis)",Fat_content/'Dairy processing conversions'!C6,Skimsolid_content/'Dairy processing conversions'!D6)</f>
        <v>18.5</v>
      </c>
      <c r="H143" s="317">
        <f t="shared" si="14"/>
        <v>5.4054054054054057E-2</v>
      </c>
      <c r="I143" s="473"/>
    </row>
    <row r="144" spans="1:9" x14ac:dyDescent="0.15">
      <c r="A144" s="15" t="s">
        <v>7</v>
      </c>
      <c r="B144" s="15" t="s">
        <v>188</v>
      </c>
      <c r="C144" s="33" t="s">
        <v>1013</v>
      </c>
      <c r="D144" s="46" t="s">
        <v>238</v>
      </c>
      <c r="E144" s="46" t="s">
        <v>256</v>
      </c>
      <c r="F144" s="311" t="str">
        <f>IF('Dairy processing conversions'!L$42&gt;'Dairy processing conversions'!M$42,"Farm weight (milk fat equivalent basis)","Farm weight (skim solids basis)")</f>
        <v>Farm weight (milk fat equivalent basis)</v>
      </c>
      <c r="G144" s="305">
        <f>IF(F144="Farm weight (milk fat equivalent basis)",Fat_content/'Dairy processing conversions'!C7,Skimsolid_content/'Dairy processing conversions'!D7)</f>
        <v>1.1212121212121211</v>
      </c>
      <c r="H144" s="317">
        <f t="shared" si="14"/>
        <v>0.891891891891892</v>
      </c>
      <c r="I144" s="473"/>
    </row>
    <row r="145" spans="1:9" x14ac:dyDescent="0.15">
      <c r="A145" s="15" t="s">
        <v>7</v>
      </c>
      <c r="B145" s="15" t="s">
        <v>188</v>
      </c>
      <c r="C145" s="33" t="s">
        <v>1014</v>
      </c>
      <c r="D145" s="46" t="s">
        <v>238</v>
      </c>
      <c r="E145" s="46" t="s">
        <v>256</v>
      </c>
      <c r="F145" s="311" t="str">
        <f>IF('Dairy processing conversions'!L$42&gt;'Dairy processing conversions'!M$42,"Farm weight (milk fat equivalent basis)","Farm weight (skim solids basis)")</f>
        <v>Farm weight (milk fat equivalent basis)</v>
      </c>
      <c r="G145" s="305">
        <f>IF(F145="Farm weight (milk fat equivalent basis)",Fat_content/'Dairy processing conversions'!C8,Skimsolid_content/'Dairy processing conversions'!D8)</f>
        <v>2.1264367816091956</v>
      </c>
      <c r="H145" s="317">
        <f t="shared" si="14"/>
        <v>0.47027027027027024</v>
      </c>
      <c r="I145" s="473"/>
    </row>
    <row r="146" spans="1:9" x14ac:dyDescent="0.15">
      <c r="A146" s="15" t="s">
        <v>7</v>
      </c>
      <c r="B146" s="15" t="s">
        <v>164</v>
      </c>
      <c r="C146" s="33" t="s">
        <v>164</v>
      </c>
      <c r="D146" s="46" t="s">
        <v>238</v>
      </c>
      <c r="E146" s="46" t="s">
        <v>256</v>
      </c>
      <c r="F146" s="311" t="str">
        <f>IF('Dairy processing conversions'!L$42&gt;'Dairy processing conversions'!M$42,"Farm weight (milk fat equivalent basis)","Farm weight (skim solids basis)")</f>
        <v>Farm weight (milk fat equivalent basis)</v>
      </c>
      <c r="G146" s="305">
        <f>IF(F146="Farm weight (milk fat equivalent basis)",Fat_content/'Dairy processing conversions'!C9,Skimsolid_content/'Dairy processing conversions'!D9)</f>
        <v>2.1264367816091956</v>
      </c>
      <c r="H146" s="317">
        <f t="shared" si="14"/>
        <v>0.47027027027027024</v>
      </c>
      <c r="I146" s="473"/>
    </row>
    <row r="147" spans="1:9" x14ac:dyDescent="0.15">
      <c r="A147" s="15" t="s">
        <v>7</v>
      </c>
      <c r="B147" s="15" t="s">
        <v>189</v>
      </c>
      <c r="C147" s="33" t="s">
        <v>165</v>
      </c>
      <c r="D147" s="46" t="s">
        <v>238</v>
      </c>
      <c r="E147" s="46" t="s">
        <v>256</v>
      </c>
      <c r="F147" s="311" t="str">
        <f>IF('Dairy processing conversions'!L$42&gt;'Dairy processing conversions'!M$42,"Farm weight (milk fat equivalent basis)","Farm weight (skim solids basis)")</f>
        <v>Farm weight (milk fat equivalent basis)</v>
      </c>
      <c r="G147" s="305">
        <f>IF(F147="Farm weight (milk fat equivalent basis)",Fat_content/'Dairy processing conversions'!C10,Skimsolid_content/'Dairy processing conversions'!D10)</f>
        <v>0.12131147540983606</v>
      </c>
      <c r="H147" s="317">
        <f t="shared" si="14"/>
        <v>8.2432432432432439</v>
      </c>
      <c r="I147" s="473"/>
    </row>
    <row r="148" spans="1:9" x14ac:dyDescent="0.15">
      <c r="A148" s="15" t="s">
        <v>7</v>
      </c>
      <c r="B148" s="15" t="s">
        <v>190</v>
      </c>
      <c r="C148" s="33" t="s">
        <v>166</v>
      </c>
      <c r="D148" s="46" t="s">
        <v>238</v>
      </c>
      <c r="E148" s="46" t="s">
        <v>256</v>
      </c>
      <c r="F148" s="311" t="str">
        <f>IF('Dairy processing conversions'!L$42&gt;'Dairy processing conversions'!M$42,"Farm weight (milk fat equivalent basis)","Farm weight (skim solids basis)")</f>
        <v>Farm weight (milk fat equivalent basis)</v>
      </c>
      <c r="G148" s="305">
        <f>IF(F148="Farm weight (milk fat equivalent basis)",Fat_content/'Dairy processing conversions'!C11,Skimsolid_content/'Dairy processing conversions'!D11)</f>
        <v>0.14949494949494946</v>
      </c>
      <c r="H148" s="317">
        <f t="shared" si="14"/>
        <v>6.6891891891891913</v>
      </c>
      <c r="I148" s="473"/>
    </row>
    <row r="149" spans="1:9" x14ac:dyDescent="0.15">
      <c r="A149" s="15" t="s">
        <v>7</v>
      </c>
      <c r="B149" s="15" t="s">
        <v>190</v>
      </c>
      <c r="C149" s="33" t="s">
        <v>167</v>
      </c>
      <c r="D149" s="46" t="s">
        <v>238</v>
      </c>
      <c r="E149" s="46" t="s">
        <v>256</v>
      </c>
      <c r="F149" s="311" t="str">
        <f>IF('Dairy processing conversions'!L$42&gt;'Dairy processing conversions'!M$42,"Farm weight (milk fat equivalent basis)","Farm weight (skim solids basis)")</f>
        <v>Farm weight (milk fat equivalent basis)</v>
      </c>
      <c r="G149" s="305">
        <f>IF(F149="Farm weight (milk fat equivalent basis)",Fat_content/'Dairy processing conversions'!C12,Skimsolid_content/'Dairy processing conversions'!D12)</f>
        <v>0.14752791068580542</v>
      </c>
      <c r="H149" s="317">
        <f t="shared" si="14"/>
        <v>6.7783783783783784</v>
      </c>
      <c r="I149" s="473"/>
    </row>
    <row r="150" spans="1:9" x14ac:dyDescent="0.15">
      <c r="A150" s="15" t="s">
        <v>7</v>
      </c>
      <c r="B150" s="15" t="s">
        <v>190</v>
      </c>
      <c r="C150" s="33" t="s">
        <v>168</v>
      </c>
      <c r="D150" s="46" t="s">
        <v>238</v>
      </c>
      <c r="E150" s="46" t="s">
        <v>256</v>
      </c>
      <c r="F150" s="311" t="str">
        <f>IF('Dairy processing conversions'!L$42&gt;'Dairy processing conversions'!M$42,"Farm weight (milk fat equivalent basis)","Farm weight (skim solids basis)")</f>
        <v>Farm weight (milk fat equivalent basis)</v>
      </c>
      <c r="G150" s="305">
        <f>IF(F150="Farm weight (milk fat equivalent basis)",Fat_content/'Dairy processing conversions'!C13,Skimsolid_content/'Dairy processing conversions'!D13)</f>
        <v>0.17003676470588236</v>
      </c>
      <c r="H150" s="317">
        <f t="shared" si="14"/>
        <v>5.8810810810810805</v>
      </c>
      <c r="I150" s="473"/>
    </row>
    <row r="151" spans="1:9" x14ac:dyDescent="0.15">
      <c r="A151" s="15" t="s">
        <v>7</v>
      </c>
      <c r="B151" s="15" t="s">
        <v>190</v>
      </c>
      <c r="C151" s="33" t="s">
        <v>169</v>
      </c>
      <c r="D151" s="46" t="s">
        <v>238</v>
      </c>
      <c r="E151" s="46" t="s">
        <v>256</v>
      </c>
      <c r="F151" s="311" t="str">
        <f>IF('Dairy processing conversions'!L$42&gt;'Dairy processing conversions'!M$42,"Farm weight (milk fat equivalent basis)","Farm weight (skim solids basis)")</f>
        <v>Farm weight (milk fat equivalent basis)</v>
      </c>
      <c r="G151" s="305">
        <f>IF(F151="Farm weight (milk fat equivalent basis)",Fat_content/'Dairy processing conversions'!C14,Skimsolid_content/'Dairy processing conversions'!D14)</f>
        <v>0.20555555555555552</v>
      </c>
      <c r="H151" s="317">
        <f t="shared" si="14"/>
        <v>4.8648648648648658</v>
      </c>
      <c r="I151" s="473"/>
    </row>
    <row r="152" spans="1:9" x14ac:dyDescent="0.15">
      <c r="A152" s="15" t="s">
        <v>7</v>
      </c>
      <c r="B152" s="15" t="s">
        <v>190</v>
      </c>
      <c r="C152" s="33" t="s">
        <v>170</v>
      </c>
      <c r="D152" s="46" t="s">
        <v>238</v>
      </c>
      <c r="E152" s="46" t="s">
        <v>256</v>
      </c>
      <c r="F152" s="311" t="str">
        <f>IF('Dairy processing conversions'!L$42&gt;'Dairy processing conversions'!M$42,"Farm weight (milk fat equivalent basis)","Farm weight (skim solids basis)")</f>
        <v>Farm weight (milk fat equivalent basis)</v>
      </c>
      <c r="G152" s="305">
        <f>IF(F152="Farm weight (milk fat equivalent basis)",Fat_content/'Dairy processing conversions'!C15,Skimsolid_content/'Dairy processing conversions'!D15)</f>
        <v>0.28505392912172572</v>
      </c>
      <c r="H152" s="317">
        <f t="shared" si="14"/>
        <v>3.5081081081081082</v>
      </c>
      <c r="I152" s="473"/>
    </row>
    <row r="153" spans="1:9" x14ac:dyDescent="0.15">
      <c r="A153" s="15" t="s">
        <v>7</v>
      </c>
      <c r="B153" s="15" t="s">
        <v>191</v>
      </c>
      <c r="C153" s="33" t="s">
        <v>171</v>
      </c>
      <c r="D153" s="46" t="s">
        <v>238</v>
      </c>
      <c r="E153" s="46" t="s">
        <v>256</v>
      </c>
      <c r="F153" s="311" t="str">
        <f>IF('Dairy processing conversions'!L$42&gt;'Dairy processing conversions'!M$42,"Farm weight (milk fat equivalent basis)","Farm weight (skim solids basis)")</f>
        <v>Farm weight (milk fat equivalent basis)</v>
      </c>
      <c r="G153" s="305">
        <f>IF(F153="Farm weight (milk fat equivalent basis)",Fat_content/'Dairy processing conversions'!C16,Skimsolid_content/'Dairy processing conversions'!D16)</f>
        <v>0.1458415451320457</v>
      </c>
      <c r="H153" s="317">
        <f t="shared" si="14"/>
        <v>6.8567567567567584</v>
      </c>
      <c r="I153" s="473"/>
    </row>
    <row r="154" spans="1:9" x14ac:dyDescent="0.15">
      <c r="A154" s="15" t="s">
        <v>7</v>
      </c>
      <c r="B154" s="15" t="s">
        <v>191</v>
      </c>
      <c r="C154" s="33" t="s">
        <v>172</v>
      </c>
      <c r="D154" s="46" t="s">
        <v>238</v>
      </c>
      <c r="E154" s="46" t="s">
        <v>256</v>
      </c>
      <c r="F154" s="311" t="str">
        <f>IF('Dairy processing conversions'!L$42&gt;'Dairy processing conversions'!M$42,"Farm weight (milk fat equivalent basis)","Farm weight (skim solids basis)")</f>
        <v>Farm weight (milk fat equivalent basis)</v>
      </c>
      <c r="G154" s="305">
        <f>IF(F154="Farm weight (milk fat equivalent basis)",Fat_content/'Dairy processing conversions'!C17,Skimsolid_content/'Dairy processing conversions'!D17)</f>
        <v>0.13214285714285712</v>
      </c>
      <c r="H154" s="317">
        <f t="shared" si="14"/>
        <v>7.5675675675675693</v>
      </c>
      <c r="I154" s="473"/>
    </row>
    <row r="155" spans="1:9" x14ac:dyDescent="0.15">
      <c r="A155" s="15" t="s">
        <v>7</v>
      </c>
      <c r="B155" s="15" t="s">
        <v>191</v>
      </c>
      <c r="C155" s="33" t="s">
        <v>173</v>
      </c>
      <c r="D155" s="46" t="s">
        <v>238</v>
      </c>
      <c r="E155" s="46" t="s">
        <v>256</v>
      </c>
      <c r="F155" s="311" t="str">
        <f>IF('Dairy processing conversions'!L$42&gt;'Dairy processing conversions'!M$42,"Farm weight (milk fat equivalent basis)","Farm weight (skim solids basis)")</f>
        <v>Farm weight (milk fat equivalent basis)</v>
      </c>
      <c r="G155" s="305">
        <f>IF(F155="Farm weight (milk fat equivalent basis)",Fat_content/'Dairy processing conversions'!C18,Skimsolid_content/'Dairy processing conversions'!D18)</f>
        <v>0.13703703703703701</v>
      </c>
      <c r="H155" s="317">
        <f t="shared" si="14"/>
        <v>7.2972972972972983</v>
      </c>
      <c r="I155" s="473"/>
    </row>
    <row r="156" spans="1:9" x14ac:dyDescent="0.15">
      <c r="A156" s="15" t="s">
        <v>7</v>
      </c>
      <c r="B156" s="15" t="s">
        <v>191</v>
      </c>
      <c r="C156" s="33" t="s">
        <v>174</v>
      </c>
      <c r="D156" s="46" t="s">
        <v>238</v>
      </c>
      <c r="E156" s="46" t="s">
        <v>256</v>
      </c>
      <c r="F156" s="311" t="str">
        <f>IF('Dairy processing conversions'!L$42&gt;'Dairy processing conversions'!M$42,"Farm weight (milk fat equivalent basis)","Farm weight (skim solids basis)")</f>
        <v>Farm weight (milk fat equivalent basis)</v>
      </c>
      <c r="G156" s="305">
        <f>IF(F156="Farm weight (milk fat equivalent basis)",Fat_content/'Dairy processing conversions'!C19,Skimsolid_content/'Dairy processing conversions'!D19)</f>
        <v>0.13703703703703701</v>
      </c>
      <c r="H156" s="317">
        <f t="shared" si="14"/>
        <v>7.2972972972972983</v>
      </c>
      <c r="I156" s="473"/>
    </row>
    <row r="157" spans="1:9" x14ac:dyDescent="0.15">
      <c r="A157" s="15" t="s">
        <v>7</v>
      </c>
      <c r="B157" s="15" t="s">
        <v>191</v>
      </c>
      <c r="C157" s="33" t="s">
        <v>175</v>
      </c>
      <c r="D157" s="46" t="s">
        <v>238</v>
      </c>
      <c r="E157" s="46" t="s">
        <v>256</v>
      </c>
      <c r="F157" s="311" t="str">
        <f>IF('Dairy processing conversions'!L$42&gt;'Dairy processing conversions'!M$42,"Farm weight (milk fat equivalent basis)","Farm weight (skim solids basis)")</f>
        <v>Farm weight (milk fat equivalent basis)</v>
      </c>
      <c r="G157" s="305">
        <f>IF(F157="Farm weight (milk fat equivalent basis)",Fat_content/'Dairy processing conversions'!C20,Skimsolid_content/'Dairy processing conversions'!D20)</f>
        <v>0.13784111017975223</v>
      </c>
      <c r="H157" s="317">
        <f t="shared" si="14"/>
        <v>7.2547297297297311</v>
      </c>
      <c r="I157" s="473"/>
    </row>
    <row r="158" spans="1:9" x14ac:dyDescent="0.15">
      <c r="A158" s="15" t="s">
        <v>7</v>
      </c>
      <c r="B158" s="15" t="s">
        <v>192</v>
      </c>
      <c r="C158" s="33" t="s">
        <v>176</v>
      </c>
      <c r="D158" s="46" t="s">
        <v>238</v>
      </c>
      <c r="E158" s="46" t="s">
        <v>256</v>
      </c>
      <c r="F158" s="311" t="str">
        <f>IF('Dairy processing conversions'!L$42&gt;'Dairy processing conversions'!M$42,"Farm weight (milk fat equivalent basis)","Farm weight (skim solids basis)")</f>
        <v>Farm weight (milk fat equivalent basis)</v>
      </c>
      <c r="G158" s="305">
        <f>IF(F158="Farm weight (milk fat equivalent basis)",Fat_content/'Dairy processing conversions'!C21,Skimsolid_content/'Dairy processing conversions'!D21)</f>
        <v>0.92499999999999993</v>
      </c>
      <c r="H158" s="317">
        <f t="shared" si="14"/>
        <v>1.0810810810810811</v>
      </c>
      <c r="I158" s="473"/>
    </row>
    <row r="159" spans="1:9" x14ac:dyDescent="0.15">
      <c r="A159" s="15" t="s">
        <v>7</v>
      </c>
      <c r="B159" s="15" t="s">
        <v>192</v>
      </c>
      <c r="C159" s="33" t="s">
        <v>177</v>
      </c>
      <c r="D159" s="46" t="s">
        <v>238</v>
      </c>
      <c r="E159" s="46" t="s">
        <v>256</v>
      </c>
      <c r="F159" s="311" t="str">
        <f>IF('Dairy processing conversions'!L$42&gt;'Dairy processing conversions'!M$42,"Farm weight (milk fat equivalent basis)","Farm weight (skim solids basis)")</f>
        <v>Farm weight (milk fat equivalent basis)</v>
      </c>
      <c r="G159" s="305">
        <f>IF(F159="Farm weight (milk fat equivalent basis)",Fat_content/'Dairy processing conversions'!C22,Skimsolid_content/'Dairy processing conversions'!D22)</f>
        <v>7.3999999999999995</v>
      </c>
      <c r="H159" s="317">
        <f t="shared" si="14"/>
        <v>0.13513513513513514</v>
      </c>
      <c r="I159" s="473"/>
    </row>
    <row r="160" spans="1:9" x14ac:dyDescent="0.15">
      <c r="A160" s="15" t="s">
        <v>7</v>
      </c>
      <c r="B160" s="15" t="s">
        <v>193</v>
      </c>
      <c r="C160" s="33" t="s">
        <v>178</v>
      </c>
      <c r="D160" s="46" t="s">
        <v>238</v>
      </c>
      <c r="E160" s="46" t="s">
        <v>256</v>
      </c>
      <c r="F160" s="311" t="str">
        <f>IF('Dairy processing conversions'!L$42&gt;'Dairy processing conversions'!M$42,"Farm weight (milk fat equivalent basis)","Farm weight (skim solids basis)")</f>
        <v>Farm weight (milk fat equivalent basis)</v>
      </c>
      <c r="G160" s="305">
        <f>IF(F160="Farm weight (milk fat equivalent basis)",Fat_content/'Dairy processing conversions'!C23,Skimsolid_content/'Dairy processing conversions'!D23)</f>
        <v>0.36999999999999994</v>
      </c>
      <c r="H160" s="317">
        <f t="shared" si="14"/>
        <v>2.7027027027027031</v>
      </c>
      <c r="I160" s="473"/>
    </row>
    <row r="161" spans="1:9" x14ac:dyDescent="0.15">
      <c r="A161" s="15" t="s">
        <v>7</v>
      </c>
      <c r="B161" s="15" t="s">
        <v>193</v>
      </c>
      <c r="C161" s="33" t="s">
        <v>179</v>
      </c>
      <c r="D161" s="46" t="s">
        <v>238</v>
      </c>
      <c r="E161" s="46" t="s">
        <v>256</v>
      </c>
      <c r="F161" s="311" t="str">
        <f>IF('Dairy processing conversions'!L$42&gt;'Dairy processing conversions'!M$42,"Farm weight (milk fat equivalent basis)","Farm weight (skim solids basis)")</f>
        <v>Farm weight (milk fat equivalent basis)</v>
      </c>
      <c r="G161" s="305">
        <f>IF(F161="Farm weight (milk fat equivalent basis)",Fat_content/'Dairy processing conversions'!C24,Skimsolid_content/'Dairy processing conversions'!D24)</f>
        <v>1.8499999999999999</v>
      </c>
      <c r="H161" s="317">
        <f t="shared" si="14"/>
        <v>0.54054054054054057</v>
      </c>
      <c r="I161" s="473"/>
    </row>
    <row r="162" spans="1:9" x14ac:dyDescent="0.15">
      <c r="A162" s="15" t="s">
        <v>7</v>
      </c>
      <c r="B162" s="15" t="s">
        <v>193</v>
      </c>
      <c r="C162" s="33" t="s">
        <v>175</v>
      </c>
      <c r="D162" s="46" t="s">
        <v>238</v>
      </c>
      <c r="E162" s="46" t="s">
        <v>256</v>
      </c>
      <c r="F162" s="311" t="str">
        <f>IF('Dairy processing conversions'!L$42&gt;'Dairy processing conversions'!M$42,"Farm weight (milk fat equivalent basis)","Farm weight (skim solids basis)")</f>
        <v>Farm weight (milk fat equivalent basis)</v>
      </c>
      <c r="G162" s="305">
        <f>IF(F162="Farm weight (milk fat equivalent basis)",Fat_content/'Dairy processing conversions'!C25,Skimsolid_content/'Dairy processing conversions'!D25)</f>
        <v>3.6999999999999997</v>
      </c>
      <c r="H162" s="317">
        <f t="shared" si="14"/>
        <v>0.27027027027027029</v>
      </c>
      <c r="I162" s="473"/>
    </row>
    <row r="163" spans="1:9" x14ac:dyDescent="0.15">
      <c r="A163" s="15" t="s">
        <v>7</v>
      </c>
      <c r="B163" s="15" t="s">
        <v>194</v>
      </c>
      <c r="C163" s="33" t="s">
        <v>180</v>
      </c>
      <c r="D163" s="46" t="s">
        <v>238</v>
      </c>
      <c r="E163" s="46" t="s">
        <v>256</v>
      </c>
      <c r="F163" s="311" t="str">
        <f>IF('Dairy processing conversions'!L$42&gt;'Dairy processing conversions'!M$42,"Farm weight (milk fat equivalent basis)","Farm weight (skim solids basis)")</f>
        <v>Farm weight (milk fat equivalent basis)</v>
      </c>
      <c r="G163" s="305">
        <f>IF(F163="Farm weight (milk fat equivalent basis)",Fat_content/'Dairy processing conversions'!C26,Skimsolid_content/'Dairy processing conversions'!D26)</f>
        <v>0.45121951219512191</v>
      </c>
      <c r="H163" s="317">
        <f t="shared" si="14"/>
        <v>2.2162162162162162</v>
      </c>
      <c r="I163" s="473"/>
    </row>
    <row r="164" spans="1:9" x14ac:dyDescent="0.15">
      <c r="A164" s="15" t="s">
        <v>7</v>
      </c>
      <c r="B164" s="15" t="s">
        <v>194</v>
      </c>
      <c r="C164" s="33" t="s">
        <v>181</v>
      </c>
      <c r="D164" s="46" t="s">
        <v>238</v>
      </c>
      <c r="E164" s="46" t="s">
        <v>256</v>
      </c>
      <c r="F164" s="311" t="str">
        <f>IF('Dairy processing conversions'!L$42&gt;'Dairy processing conversions'!M$42,"Farm weight (milk fat equivalent basis)","Farm weight (skim solids basis)")</f>
        <v>Farm weight (milk fat equivalent basis)</v>
      </c>
      <c r="G164" s="305">
        <f>IF(F164="Farm weight (milk fat equivalent basis)",Fat_content/'Dairy processing conversions'!C27,Skimsolid_content/'Dairy processing conversions'!D27)</f>
        <v>0.45121951219512191</v>
      </c>
      <c r="H164" s="317">
        <f t="shared" si="14"/>
        <v>2.2162162162162162</v>
      </c>
      <c r="I164" s="473"/>
    </row>
    <row r="165" spans="1:9" x14ac:dyDescent="0.15">
      <c r="A165" s="15" t="s">
        <v>7</v>
      </c>
      <c r="B165" s="15" t="s">
        <v>194</v>
      </c>
      <c r="C165" s="33" t="s">
        <v>182</v>
      </c>
      <c r="D165" s="46" t="s">
        <v>238</v>
      </c>
      <c r="E165" s="46" t="s">
        <v>256</v>
      </c>
      <c r="F165" s="311" t="str">
        <f>IF('Dairy processing conversions'!L$42&gt;'Dairy processing conversions'!M$42,"Farm weight (milk fat equivalent basis)","Farm weight (skim solids basis)")</f>
        <v>Farm weight (milk fat equivalent basis)</v>
      </c>
      <c r="G165" s="305">
        <f>IF(F165="Farm weight (milk fat equivalent basis)",Fat_content/'Dairy processing conversions'!C28,Skimsolid_content/'Dairy processing conversions'!D28)</f>
        <v>18.5</v>
      </c>
      <c r="H165" s="317">
        <f t="shared" si="14"/>
        <v>5.4054054054054057E-2</v>
      </c>
      <c r="I165" s="473"/>
    </row>
    <row r="166" spans="1:9" x14ac:dyDescent="0.15">
      <c r="A166" s="15" t="s">
        <v>7</v>
      </c>
      <c r="B166" s="15" t="s">
        <v>195</v>
      </c>
      <c r="C166" s="33" t="s">
        <v>183</v>
      </c>
      <c r="D166" s="46" t="s">
        <v>238</v>
      </c>
      <c r="E166" s="46" t="s">
        <v>256</v>
      </c>
      <c r="F166" s="311" t="str">
        <f>IF('Dairy processing conversions'!L$42&gt;'Dairy processing conversions'!M$42,"Farm weight (milk fat equivalent basis)","Farm weight (skim solids basis)")</f>
        <v>Farm weight (milk fat equivalent basis)</v>
      </c>
      <c r="G166" s="305">
        <f>IF(F166="Farm weight (milk fat equivalent basis)",Fat_content/'Dairy processing conversions'!C29,Skimsolid_content/'Dairy processing conversions'!D29)</f>
        <v>0.13962264150943396</v>
      </c>
      <c r="H166" s="317">
        <f t="shared" si="14"/>
        <v>7.1621621621621623</v>
      </c>
      <c r="I166" s="473"/>
    </row>
    <row r="167" spans="1:9" x14ac:dyDescent="0.15">
      <c r="A167" s="15" t="s">
        <v>7</v>
      </c>
      <c r="B167" s="15" t="s">
        <v>195</v>
      </c>
      <c r="C167" s="33" t="s">
        <v>184</v>
      </c>
      <c r="D167" s="46" t="s">
        <v>238</v>
      </c>
      <c r="E167" s="46" t="s">
        <v>256</v>
      </c>
      <c r="F167" s="311" t="str">
        <f>IF('Dairy processing conversions'!L$42&gt;'Dairy processing conversions'!M$42,"Farm weight (milk fat equivalent basis)","Farm weight (skim solids basis)")</f>
        <v>Farm weight (milk fat equivalent basis)</v>
      </c>
      <c r="G167" s="305">
        <f>IF(F167="Farm weight (milk fat equivalent basis)",Fat_content/'Dairy processing conversions'!C30,Skimsolid_content/'Dairy processing conversions'!D30)</f>
        <v>4.625</v>
      </c>
      <c r="H167" s="317">
        <f t="shared" si="14"/>
        <v>0.21621621621621623</v>
      </c>
      <c r="I167" s="473"/>
    </row>
    <row r="168" spans="1:9" x14ac:dyDescent="0.15">
      <c r="A168" s="315" t="s">
        <v>7</v>
      </c>
      <c r="B168" s="315" t="s">
        <v>195</v>
      </c>
      <c r="C168" s="99" t="s">
        <v>185</v>
      </c>
      <c r="D168" s="309" t="s">
        <v>238</v>
      </c>
      <c r="E168" s="309" t="s">
        <v>256</v>
      </c>
      <c r="F168" s="311" t="str">
        <f>IF('Dairy processing conversions'!L$42&gt;'Dairy processing conversions'!M$42,"Farm weight (milk fat equivalent basis)","Farm weight (skim solids basis)")</f>
        <v>Farm weight (milk fat equivalent basis)</v>
      </c>
      <c r="G168" s="305">
        <f>IF(F168="Farm weight (milk fat equivalent basis)",Fat_content/'Dairy processing conversions'!C31,Skimsolid_content/'Dairy processing conversions'!D31)</f>
        <v>0.69811320754716977</v>
      </c>
      <c r="H168" s="317">
        <f t="shared" si="14"/>
        <v>1.4324324324324325</v>
      </c>
      <c r="I168" s="473"/>
    </row>
    <row r="169" spans="1:9" s="308" customFormat="1" ht="14" x14ac:dyDescent="0.15">
      <c r="A169" s="365" t="s">
        <v>720</v>
      </c>
      <c r="B169" s="390" t="s">
        <v>719</v>
      </c>
      <c r="C169" s="397" t="s">
        <v>724</v>
      </c>
      <c r="D169" s="152"/>
      <c r="E169" s="152" t="s">
        <v>727</v>
      </c>
      <c r="F169" s="152" t="s">
        <v>244</v>
      </c>
      <c r="G169" s="369">
        <v>6</v>
      </c>
      <c r="H169" s="203">
        <f t="shared" si="14"/>
        <v>0.16666666666666666</v>
      </c>
      <c r="I169" s="476" t="s">
        <v>729</v>
      </c>
    </row>
    <row r="170" spans="1:9" s="308" customFormat="1" ht="14" x14ac:dyDescent="0.15">
      <c r="A170" s="405" t="s">
        <v>723</v>
      </c>
      <c r="B170" s="399" t="s">
        <v>722</v>
      </c>
      <c r="C170" s="400" t="s">
        <v>725</v>
      </c>
      <c r="D170" s="154"/>
      <c r="E170" s="154" t="s">
        <v>728</v>
      </c>
      <c r="F170" s="154" t="s">
        <v>244</v>
      </c>
      <c r="G170" s="404">
        <v>2.5</v>
      </c>
      <c r="H170" s="471">
        <f t="shared" si="14"/>
        <v>0.4</v>
      </c>
      <c r="I170" s="472" t="s">
        <v>730</v>
      </c>
    </row>
    <row r="171" spans="1:9" x14ac:dyDescent="0.15">
      <c r="A171" s="46" t="s">
        <v>354</v>
      </c>
      <c r="B171" s="46" t="s">
        <v>94</v>
      </c>
      <c r="C171" s="86" t="s">
        <v>356</v>
      </c>
      <c r="D171" s="46" t="s">
        <v>238</v>
      </c>
      <c r="E171" s="46" t="s">
        <v>357</v>
      </c>
      <c r="F171" s="46" t="s">
        <v>244</v>
      </c>
      <c r="G171" s="237">
        <v>1</v>
      </c>
      <c r="H171" s="199">
        <v>1</v>
      </c>
      <c r="I171" s="473"/>
    </row>
    <row r="172" spans="1:9" x14ac:dyDescent="0.15">
      <c r="A172" s="46" t="s">
        <v>354</v>
      </c>
      <c r="B172" s="46" t="s">
        <v>95</v>
      </c>
      <c r="C172" s="86" t="s">
        <v>356</v>
      </c>
      <c r="D172" s="46" t="s">
        <v>238</v>
      </c>
      <c r="E172" s="46" t="s">
        <v>95</v>
      </c>
      <c r="F172" s="46" t="s">
        <v>244</v>
      </c>
      <c r="G172" s="237">
        <v>1</v>
      </c>
      <c r="H172" s="199">
        <v>1</v>
      </c>
      <c r="I172" s="473"/>
    </row>
    <row r="173" spans="1:9" x14ac:dyDescent="0.15">
      <c r="A173" s="46" t="s">
        <v>354</v>
      </c>
      <c r="B173" s="15" t="s">
        <v>196</v>
      </c>
      <c r="C173" s="33" t="s">
        <v>356</v>
      </c>
      <c r="D173" s="46" t="s">
        <v>246</v>
      </c>
      <c r="E173" t="str">
        <f t="shared" ref="E173:E195" si="15">B173</f>
        <v>beef</v>
      </c>
      <c r="F173" s="15" t="s">
        <v>316</v>
      </c>
      <c r="G173" s="189">
        <v>0.60199999999999998</v>
      </c>
      <c r="H173" s="199">
        <f t="shared" ref="H173:H178" si="16">1/G173</f>
        <v>1.6611295681063123</v>
      </c>
      <c r="I173" s="473"/>
    </row>
    <row r="174" spans="1:9" x14ac:dyDescent="0.15">
      <c r="A174" s="46" t="s">
        <v>354</v>
      </c>
      <c r="B174" s="15" t="s">
        <v>197</v>
      </c>
      <c r="C174" s="33" t="s">
        <v>356</v>
      </c>
      <c r="D174" s="46" t="s">
        <v>246</v>
      </c>
      <c r="E174" t="str">
        <f t="shared" si="15"/>
        <v>veal</v>
      </c>
      <c r="F174" s="15" t="s">
        <v>316</v>
      </c>
      <c r="G174" s="189">
        <v>0.63200000000000001</v>
      </c>
      <c r="H174" s="199">
        <f t="shared" si="16"/>
        <v>1.5822784810126582</v>
      </c>
      <c r="I174" s="473"/>
    </row>
    <row r="175" spans="1:9" x14ac:dyDescent="0.15">
      <c r="A175" s="46" t="s">
        <v>354</v>
      </c>
      <c r="B175" s="15" t="s">
        <v>198</v>
      </c>
      <c r="C175" s="33" t="s">
        <v>356</v>
      </c>
      <c r="D175" s="46" t="s">
        <v>246</v>
      </c>
      <c r="E175" t="str">
        <f t="shared" si="15"/>
        <v>pork</v>
      </c>
      <c r="F175" s="15" t="s">
        <v>316</v>
      </c>
      <c r="G175" s="189">
        <v>0.72399999999999998</v>
      </c>
      <c r="H175" s="199">
        <f t="shared" si="16"/>
        <v>1.3812154696132597</v>
      </c>
      <c r="I175" s="473"/>
    </row>
    <row r="176" spans="1:9" x14ac:dyDescent="0.15">
      <c r="A176" s="46" t="s">
        <v>354</v>
      </c>
      <c r="B176" s="15" t="s">
        <v>199</v>
      </c>
      <c r="C176" s="33" t="s">
        <v>356</v>
      </c>
      <c r="D176" s="46" t="s">
        <v>246</v>
      </c>
      <c r="E176" t="str">
        <f t="shared" si="15"/>
        <v>lamb</v>
      </c>
      <c r="F176" s="15" t="s">
        <v>316</v>
      </c>
      <c r="G176" s="189">
        <v>0.50800000000000001</v>
      </c>
      <c r="H176" s="199">
        <f t="shared" si="16"/>
        <v>1.9685039370078741</v>
      </c>
      <c r="I176" s="473"/>
    </row>
    <row r="177" spans="1:30" x14ac:dyDescent="0.15">
      <c r="A177" s="46" t="s">
        <v>354</v>
      </c>
      <c r="B177" s="15" t="s">
        <v>200</v>
      </c>
      <c r="C177" s="33" t="s">
        <v>1015</v>
      </c>
      <c r="D177" s="46" t="s">
        <v>246</v>
      </c>
      <c r="E177" t="str">
        <f t="shared" si="15"/>
        <v xml:space="preserve">chicken </v>
      </c>
      <c r="F177" s="15" t="s">
        <v>316</v>
      </c>
      <c r="G177" s="189">
        <v>0.72250000000000003</v>
      </c>
      <c r="H177" s="199">
        <f t="shared" si="16"/>
        <v>1.3840830449826989</v>
      </c>
      <c r="I177" s="473"/>
    </row>
    <row r="178" spans="1:30" x14ac:dyDescent="0.15">
      <c r="A178" s="46" t="s">
        <v>354</v>
      </c>
      <c r="B178" s="15" t="s">
        <v>201</v>
      </c>
      <c r="C178" s="33" t="s">
        <v>981</v>
      </c>
      <c r="D178" s="46" t="s">
        <v>246</v>
      </c>
      <c r="E178" t="str">
        <f t="shared" si="15"/>
        <v>turkey</v>
      </c>
      <c r="F178" s="15" t="s">
        <v>316</v>
      </c>
      <c r="G178" s="189">
        <v>0.7913</v>
      </c>
      <c r="H178" s="199">
        <f t="shared" si="16"/>
        <v>1.2637432073802604</v>
      </c>
      <c r="I178" s="473"/>
    </row>
    <row r="179" spans="1:30" x14ac:dyDescent="0.15">
      <c r="A179" s="46" t="s">
        <v>354</v>
      </c>
      <c r="B179" s="15" t="s">
        <v>202</v>
      </c>
      <c r="C179" s="33" t="s">
        <v>981</v>
      </c>
      <c r="D179" s="46" t="s">
        <v>247</v>
      </c>
      <c r="E179" t="str">
        <f t="shared" si="15"/>
        <v>fish and shellfish</v>
      </c>
      <c r="F179" s="15" t="s">
        <v>260</v>
      </c>
      <c r="G179" s="74" t="s">
        <v>63</v>
      </c>
      <c r="H179" s="237" t="s">
        <v>63</v>
      </c>
      <c r="I179" s="472" t="s">
        <v>1044</v>
      </c>
    </row>
    <row r="180" spans="1:30" x14ac:dyDescent="0.15">
      <c r="A180" s="46" t="s">
        <v>354</v>
      </c>
      <c r="B180" s="15" t="s">
        <v>204</v>
      </c>
      <c r="C180" s="33" t="s">
        <v>981</v>
      </c>
      <c r="D180" s="46" t="s">
        <v>247</v>
      </c>
      <c r="E180" t="str">
        <f t="shared" si="15"/>
        <v>salmon</v>
      </c>
      <c r="F180" s="15" t="s">
        <v>260</v>
      </c>
      <c r="G180" s="74" t="s">
        <v>63</v>
      </c>
      <c r="H180" s="237" t="s">
        <v>63</v>
      </c>
      <c r="I180" s="472" t="s">
        <v>1044</v>
      </c>
    </row>
    <row r="181" spans="1:30" x14ac:dyDescent="0.15">
      <c r="A181" s="46" t="s">
        <v>354</v>
      </c>
      <c r="B181" s="15" t="s">
        <v>205</v>
      </c>
      <c r="C181" s="33" t="s">
        <v>981</v>
      </c>
      <c r="D181" s="46" t="s">
        <v>247</v>
      </c>
      <c r="E181" t="str">
        <f t="shared" si="15"/>
        <v>sardines</v>
      </c>
      <c r="F181" s="15" t="s">
        <v>260</v>
      </c>
      <c r="G181" s="74" t="s">
        <v>63</v>
      </c>
      <c r="H181" s="237" t="s">
        <v>63</v>
      </c>
      <c r="I181" s="472" t="s">
        <v>1044</v>
      </c>
    </row>
    <row r="182" spans="1:30" x14ac:dyDescent="0.15">
      <c r="A182" s="46" t="s">
        <v>354</v>
      </c>
      <c r="B182" s="15" t="s">
        <v>206</v>
      </c>
      <c r="C182" s="33" t="s">
        <v>981</v>
      </c>
      <c r="D182" s="46" t="s">
        <v>247</v>
      </c>
      <c r="E182" t="str">
        <f t="shared" si="15"/>
        <v>tuna</v>
      </c>
      <c r="F182" s="15" t="s">
        <v>260</v>
      </c>
      <c r="G182" s="74" t="s">
        <v>63</v>
      </c>
      <c r="H182" s="237" t="s">
        <v>63</v>
      </c>
      <c r="I182" s="472" t="s">
        <v>1044</v>
      </c>
    </row>
    <row r="183" spans="1:30" x14ac:dyDescent="0.15">
      <c r="A183" s="46" t="s">
        <v>354</v>
      </c>
      <c r="B183" s="15" t="s">
        <v>203</v>
      </c>
      <c r="C183" s="33" t="s">
        <v>207</v>
      </c>
      <c r="D183" s="46" t="s">
        <v>247</v>
      </c>
      <c r="E183" t="str">
        <f t="shared" si="15"/>
        <v>shellfish</v>
      </c>
      <c r="F183" s="15" t="s">
        <v>260</v>
      </c>
      <c r="G183" s="74" t="s">
        <v>63</v>
      </c>
      <c r="H183" s="237" t="s">
        <v>63</v>
      </c>
      <c r="I183" s="472" t="s">
        <v>1044</v>
      </c>
    </row>
    <row r="184" spans="1:30" x14ac:dyDescent="0.15">
      <c r="A184" s="46" t="s">
        <v>354</v>
      </c>
      <c r="B184" s="15" t="s">
        <v>175</v>
      </c>
      <c r="C184" s="33" t="s">
        <v>356</v>
      </c>
      <c r="D184" s="46" t="s">
        <v>247</v>
      </c>
      <c r="E184" t="str">
        <f t="shared" si="15"/>
        <v>other</v>
      </c>
      <c r="F184" s="15" t="s">
        <v>260</v>
      </c>
      <c r="G184" s="74" t="s">
        <v>63</v>
      </c>
      <c r="H184" s="237" t="s">
        <v>63</v>
      </c>
      <c r="I184" s="472" t="s">
        <v>1044</v>
      </c>
    </row>
    <row r="185" spans="1:30" x14ac:dyDescent="0.15">
      <c r="A185" s="46" t="s">
        <v>354</v>
      </c>
      <c r="B185" s="15" t="s">
        <v>207</v>
      </c>
      <c r="C185" s="33" t="s">
        <v>207</v>
      </c>
      <c r="D185" s="46" t="s">
        <v>247</v>
      </c>
      <c r="E185" t="str">
        <f t="shared" si="15"/>
        <v>cured</v>
      </c>
      <c r="F185" s="15" t="s">
        <v>260</v>
      </c>
      <c r="G185" s="74" t="s">
        <v>63</v>
      </c>
      <c r="H185" s="237" t="s">
        <v>63</v>
      </c>
      <c r="I185" s="472" t="s">
        <v>1044</v>
      </c>
    </row>
    <row r="186" spans="1:30" x14ac:dyDescent="0.15">
      <c r="A186" s="46" t="s">
        <v>354</v>
      </c>
      <c r="B186" s="15" t="s">
        <v>208</v>
      </c>
      <c r="C186" s="33" t="s">
        <v>356</v>
      </c>
      <c r="D186" s="46" t="s">
        <v>244</v>
      </c>
      <c r="E186" t="str">
        <f t="shared" si="15"/>
        <v>eggs</v>
      </c>
      <c r="F186" s="15" t="s">
        <v>244</v>
      </c>
      <c r="G186" s="74">
        <v>1</v>
      </c>
      <c r="H186" s="199">
        <f>1/G186</f>
        <v>1</v>
      </c>
      <c r="I186" s="473"/>
    </row>
    <row r="187" spans="1:30" x14ac:dyDescent="0.15">
      <c r="A187" s="46" t="s">
        <v>354</v>
      </c>
      <c r="B187" s="15" t="s">
        <v>209</v>
      </c>
      <c r="C187" s="33" t="s">
        <v>1016</v>
      </c>
      <c r="D187" s="46" t="s">
        <v>248</v>
      </c>
      <c r="E187" t="str">
        <f t="shared" si="15"/>
        <v>peanuts</v>
      </c>
      <c r="F187" s="15" t="s">
        <v>244</v>
      </c>
      <c r="G187" s="74">
        <v>1</v>
      </c>
      <c r="H187" s="199">
        <f>1/G187</f>
        <v>1</v>
      </c>
      <c r="I187" s="473"/>
    </row>
    <row r="188" spans="1:30" x14ac:dyDescent="0.15">
      <c r="A188" s="46" t="s">
        <v>354</v>
      </c>
      <c r="B188" s="15" t="s">
        <v>210</v>
      </c>
      <c r="C188" s="33" t="s">
        <v>1016</v>
      </c>
      <c r="D188" s="46" t="s">
        <v>249</v>
      </c>
      <c r="E188" t="str">
        <f t="shared" si="15"/>
        <v>coconuts</v>
      </c>
      <c r="F188" s="15" t="s">
        <v>249</v>
      </c>
      <c r="G188" s="323" t="s">
        <v>1280</v>
      </c>
      <c r="H188" s="317" t="s">
        <v>1280</v>
      </c>
      <c r="I188" s="472"/>
      <c r="J188" s="310"/>
      <c r="K188" s="310"/>
      <c r="L188" s="310"/>
      <c r="M188" s="310"/>
      <c r="N188" s="310"/>
      <c r="O188" s="310"/>
      <c r="P188" s="310"/>
      <c r="Q188" s="310"/>
      <c r="R188" s="310"/>
      <c r="S188" s="310"/>
      <c r="T188" s="310"/>
      <c r="U188" s="310"/>
      <c r="V188" s="310"/>
      <c r="W188" s="310"/>
      <c r="X188" s="310"/>
      <c r="Y188" s="310"/>
      <c r="Z188" s="310"/>
      <c r="AA188" s="310"/>
      <c r="AB188" s="310"/>
      <c r="AC188" s="310"/>
      <c r="AD188" s="310"/>
    </row>
    <row r="189" spans="1:30" x14ac:dyDescent="0.15">
      <c r="A189" s="46" t="s">
        <v>354</v>
      </c>
      <c r="B189" s="15" t="s">
        <v>211</v>
      </c>
      <c r="C189" s="33" t="s">
        <v>1016</v>
      </c>
      <c r="D189" s="46" t="s">
        <v>248</v>
      </c>
      <c r="E189" t="str">
        <f t="shared" si="15"/>
        <v>almonds</v>
      </c>
      <c r="F189" s="15" t="s">
        <v>269</v>
      </c>
      <c r="G189" s="74">
        <v>0.6</v>
      </c>
      <c r="H189" s="199">
        <f t="shared" ref="H189:H194" si="17">1/G189</f>
        <v>1.6666666666666667</v>
      </c>
      <c r="I189" s="473"/>
      <c r="J189" s="310"/>
      <c r="K189" s="310"/>
      <c r="L189" s="310"/>
      <c r="M189" s="310"/>
      <c r="N189" s="310"/>
      <c r="O189" s="310"/>
      <c r="P189" s="310"/>
      <c r="Q189" s="310"/>
      <c r="R189" s="310"/>
      <c r="S189" s="310"/>
      <c r="T189" s="310"/>
      <c r="U189" s="310"/>
      <c r="V189" s="310"/>
      <c r="W189" s="310"/>
      <c r="X189" s="310"/>
      <c r="Y189" s="310"/>
      <c r="Z189" s="310"/>
      <c r="AA189" s="310"/>
      <c r="AB189" s="310"/>
      <c r="AC189" s="310"/>
      <c r="AD189" s="310"/>
    </row>
    <row r="190" spans="1:30" x14ac:dyDescent="0.15">
      <c r="A190" s="46" t="s">
        <v>354</v>
      </c>
      <c r="B190" s="15" t="s">
        <v>212</v>
      </c>
      <c r="C190" s="33" t="s">
        <v>1016</v>
      </c>
      <c r="D190" s="46" t="s">
        <v>248</v>
      </c>
      <c r="E190" t="str">
        <f t="shared" si="15"/>
        <v>hazelnuts</v>
      </c>
      <c r="F190" s="15" t="s">
        <v>269</v>
      </c>
      <c r="G190" s="74">
        <v>0.4</v>
      </c>
      <c r="H190" s="199">
        <f t="shared" si="17"/>
        <v>2.5</v>
      </c>
      <c r="I190" s="473"/>
      <c r="J190" s="310"/>
      <c r="K190" s="310"/>
      <c r="L190" s="310"/>
      <c r="M190" s="310"/>
      <c r="N190" s="310"/>
      <c r="O190" s="310"/>
      <c r="P190" s="310"/>
      <c r="Q190" s="310"/>
      <c r="R190" s="310"/>
      <c r="S190" s="310"/>
      <c r="T190" s="310"/>
      <c r="U190" s="310"/>
      <c r="V190" s="310"/>
      <c r="W190" s="310"/>
      <c r="X190" s="310"/>
      <c r="Y190" s="310"/>
      <c r="Z190" s="310"/>
      <c r="AA190" s="310"/>
      <c r="AB190" s="310"/>
      <c r="AC190" s="310"/>
      <c r="AD190" s="310"/>
    </row>
    <row r="191" spans="1:30" x14ac:dyDescent="0.15">
      <c r="A191" s="46" t="s">
        <v>354</v>
      </c>
      <c r="B191" s="15" t="s">
        <v>213</v>
      </c>
      <c r="C191" s="33" t="s">
        <v>1016</v>
      </c>
      <c r="D191" s="46" t="s">
        <v>248</v>
      </c>
      <c r="E191" t="str">
        <f t="shared" si="15"/>
        <v>pecans</v>
      </c>
      <c r="F191" s="15" t="s">
        <v>269</v>
      </c>
      <c r="G191" s="74">
        <v>0.5</v>
      </c>
      <c r="H191" s="199">
        <f t="shared" si="17"/>
        <v>2</v>
      </c>
      <c r="I191" s="473"/>
      <c r="J191" s="310"/>
      <c r="K191" s="310"/>
      <c r="L191" s="310"/>
      <c r="M191" s="310"/>
      <c r="N191" s="310"/>
      <c r="O191" s="310"/>
      <c r="P191" s="310"/>
      <c r="Q191" s="310"/>
      <c r="R191" s="310"/>
      <c r="S191" s="310"/>
      <c r="T191" s="310"/>
      <c r="U191" s="310"/>
      <c r="V191" s="310"/>
      <c r="W191" s="310"/>
      <c r="X191" s="310"/>
      <c r="Y191" s="310"/>
      <c r="Z191" s="310"/>
      <c r="AA191" s="310"/>
      <c r="AB191" s="310"/>
      <c r="AC191" s="310"/>
      <c r="AD191" s="310"/>
    </row>
    <row r="192" spans="1:30" x14ac:dyDescent="0.15">
      <c r="A192" s="46" t="s">
        <v>354</v>
      </c>
      <c r="B192" s="15" t="s">
        <v>214</v>
      </c>
      <c r="C192" s="33" t="s">
        <v>1016</v>
      </c>
      <c r="D192" s="46" t="s">
        <v>248</v>
      </c>
      <c r="E192" t="str">
        <f t="shared" si="15"/>
        <v>walnuts</v>
      </c>
      <c r="F192" s="15" t="s">
        <v>269</v>
      </c>
      <c r="G192" s="74">
        <v>0.4</v>
      </c>
      <c r="H192" s="199">
        <f t="shared" si="17"/>
        <v>2.5</v>
      </c>
      <c r="I192" s="473"/>
      <c r="J192" s="310"/>
      <c r="K192" s="310"/>
      <c r="L192" s="310"/>
      <c r="M192" s="310"/>
      <c r="N192" s="310"/>
      <c r="O192" s="310"/>
      <c r="P192" s="310"/>
      <c r="Q192" s="310"/>
      <c r="R192" s="310"/>
      <c r="S192" s="310"/>
      <c r="T192" s="310"/>
      <c r="U192" s="310"/>
      <c r="V192" s="310"/>
      <c r="W192" s="310"/>
      <c r="X192" s="310"/>
      <c r="Y192" s="310"/>
      <c r="Z192" s="310"/>
      <c r="AA192" s="310"/>
      <c r="AB192" s="310"/>
      <c r="AC192" s="310"/>
      <c r="AD192" s="310"/>
    </row>
    <row r="193" spans="1:30" x14ac:dyDescent="0.15">
      <c r="A193" s="46" t="s">
        <v>354</v>
      </c>
      <c r="B193" s="15" t="s">
        <v>215</v>
      </c>
      <c r="C193" s="33" t="s">
        <v>1016</v>
      </c>
      <c r="D193" s="46" t="s">
        <v>248</v>
      </c>
      <c r="E193" t="str">
        <f t="shared" si="15"/>
        <v>macadamia nuts</v>
      </c>
      <c r="F193" s="15" t="s">
        <v>269</v>
      </c>
      <c r="G193" s="74">
        <v>0.38</v>
      </c>
      <c r="H193" s="199">
        <f t="shared" si="17"/>
        <v>2.6315789473684212</v>
      </c>
      <c r="I193" s="473"/>
      <c r="J193" s="310"/>
      <c r="K193" s="310"/>
      <c r="L193" s="310"/>
      <c r="M193" s="310"/>
      <c r="N193" s="310"/>
      <c r="O193" s="310"/>
      <c r="P193" s="310"/>
      <c r="Q193" s="310"/>
      <c r="R193" s="310"/>
      <c r="S193" s="310"/>
      <c r="T193" s="310"/>
      <c r="U193" s="310"/>
      <c r="V193" s="310"/>
      <c r="W193" s="310"/>
      <c r="X193" s="310"/>
      <c r="Y193" s="310"/>
      <c r="Z193" s="310"/>
      <c r="AA193" s="310"/>
      <c r="AB193" s="310"/>
      <c r="AC193" s="310"/>
      <c r="AD193" s="310"/>
    </row>
    <row r="194" spans="1:30" x14ac:dyDescent="0.15">
      <c r="A194" s="46" t="s">
        <v>354</v>
      </c>
      <c r="B194" s="15" t="s">
        <v>216</v>
      </c>
      <c r="C194" s="33" t="s">
        <v>1016</v>
      </c>
      <c r="D194" s="46" t="s">
        <v>248</v>
      </c>
      <c r="E194" t="str">
        <f t="shared" si="15"/>
        <v>pistachios</v>
      </c>
      <c r="F194" s="15" t="s">
        <v>269</v>
      </c>
      <c r="G194" s="74">
        <v>0.43</v>
      </c>
      <c r="H194" s="199">
        <f t="shared" si="17"/>
        <v>2.3255813953488373</v>
      </c>
      <c r="I194" s="473"/>
      <c r="J194" s="310"/>
      <c r="K194" s="310"/>
      <c r="L194" s="310"/>
      <c r="M194" s="310"/>
      <c r="N194" s="310"/>
      <c r="O194" s="310"/>
      <c r="P194" s="310"/>
      <c r="Q194" s="310"/>
      <c r="R194" s="310"/>
      <c r="S194" s="310"/>
      <c r="T194" s="310"/>
      <c r="U194" s="310"/>
      <c r="V194" s="310"/>
      <c r="W194" s="310"/>
      <c r="X194" s="310"/>
      <c r="Y194" s="310"/>
      <c r="Z194" s="310"/>
      <c r="AA194" s="310"/>
      <c r="AB194" s="310"/>
      <c r="AC194" s="310"/>
      <c r="AD194" s="310"/>
    </row>
    <row r="195" spans="1:30" x14ac:dyDescent="0.15">
      <c r="A195" s="315" t="s">
        <v>354</v>
      </c>
      <c r="B195" s="315" t="s">
        <v>217</v>
      </c>
      <c r="C195" s="99" t="s">
        <v>1016</v>
      </c>
      <c r="D195" s="309" t="s">
        <v>248</v>
      </c>
      <c r="E195" s="313" t="str">
        <f t="shared" si="15"/>
        <v>other nuts</v>
      </c>
      <c r="F195" s="315" t="s">
        <v>269</v>
      </c>
      <c r="G195" s="216" t="s">
        <v>1280</v>
      </c>
      <c r="H195" s="317" t="s">
        <v>1280</v>
      </c>
      <c r="I195" s="472"/>
      <c r="J195" s="310"/>
      <c r="K195" s="310"/>
      <c r="L195" s="310"/>
      <c r="M195" s="310"/>
      <c r="N195" s="310"/>
      <c r="O195" s="310"/>
      <c r="P195" s="310"/>
      <c r="Q195" s="310"/>
      <c r="R195" s="310"/>
      <c r="S195" s="310"/>
      <c r="T195" s="310"/>
      <c r="U195" s="310"/>
      <c r="V195" s="310"/>
      <c r="W195" s="310"/>
      <c r="X195" s="310"/>
      <c r="Y195" s="310"/>
      <c r="Z195" s="310"/>
      <c r="AA195" s="310"/>
      <c r="AB195" s="310"/>
      <c r="AC195" s="310"/>
      <c r="AD195" s="310"/>
    </row>
    <row r="196" spans="1:30" s="308" customFormat="1" x14ac:dyDescent="0.15">
      <c r="A196" s="152" t="s">
        <v>699</v>
      </c>
      <c r="B196" s="152"/>
      <c r="C196" s="178"/>
      <c r="D196" s="152"/>
      <c r="E196" s="153"/>
      <c r="F196" s="152"/>
      <c r="G196" s="370"/>
      <c r="H196" s="364"/>
      <c r="I196" s="476"/>
      <c r="J196" s="310"/>
      <c r="K196" s="310"/>
      <c r="L196" s="310"/>
      <c r="M196" s="310"/>
      <c r="N196" s="310"/>
      <c r="O196" s="310"/>
      <c r="P196" s="310"/>
      <c r="Q196" s="310"/>
      <c r="R196" s="310"/>
      <c r="S196" s="310"/>
      <c r="T196" s="310"/>
      <c r="U196" s="310"/>
      <c r="V196" s="310"/>
      <c r="W196" s="310"/>
      <c r="X196" s="310"/>
      <c r="Y196" s="310"/>
      <c r="Z196" s="310"/>
      <c r="AA196" s="310"/>
      <c r="AB196" s="310"/>
      <c r="AC196" s="310"/>
      <c r="AD196" s="310"/>
    </row>
    <row r="197" spans="1:30" x14ac:dyDescent="0.15">
      <c r="A197" s="15" t="s">
        <v>8</v>
      </c>
      <c r="B197" s="15" t="s">
        <v>218</v>
      </c>
      <c r="C197" s="33"/>
      <c r="D197" s="46" t="s">
        <v>238</v>
      </c>
      <c r="E197" s="46" t="s">
        <v>256</v>
      </c>
      <c r="F197" s="311" t="str">
        <f>IF('Dairy processing conversions'!L$42&gt;'Dairy processing conversions'!M$42,"Farm weight (milk fat equivalent basis)","Farm weight (skim solids basis)")</f>
        <v>Farm weight (milk fat equivalent basis)</v>
      </c>
      <c r="G197" s="305">
        <f>IF(F197="Farm weight (milk fat equivalent basis)",Fat_content/'Dairy processing conversions'!C32,IF('Dairy processing conversions'!D32&gt;0,Skimsolid_content/'Dairy processing conversions'!D32,"yield undefined"))</f>
        <v>4.6249999999999993E-2</v>
      </c>
      <c r="H197" s="317">
        <f>IF(G197="yield undefined",0,1/G197)</f>
        <v>21.621621621621625</v>
      </c>
      <c r="I197" s="473"/>
      <c r="J197" s="310"/>
      <c r="K197" s="310"/>
      <c r="L197" s="310"/>
      <c r="M197" s="310"/>
      <c r="N197" s="310"/>
      <c r="O197" s="310"/>
      <c r="P197" s="310"/>
      <c r="Q197" s="310"/>
      <c r="R197" s="310"/>
      <c r="S197" s="310"/>
      <c r="T197" s="310"/>
      <c r="U197" s="310"/>
      <c r="V197" s="310"/>
      <c r="W197" s="310"/>
      <c r="X197" s="310"/>
      <c r="Y197" s="310"/>
      <c r="Z197" s="310"/>
      <c r="AA197" s="310"/>
      <c r="AB197" s="310"/>
      <c r="AC197" s="310"/>
      <c r="AD197" s="310"/>
    </row>
    <row r="198" spans="1:30" x14ac:dyDescent="0.15">
      <c r="A198" s="15" t="s">
        <v>8</v>
      </c>
      <c r="B198" s="311" t="s">
        <v>219</v>
      </c>
      <c r="C198" s="33"/>
      <c r="D198" s="46" t="s">
        <v>238</v>
      </c>
      <c r="E198" s="46" t="s">
        <v>650</v>
      </c>
      <c r="F198" s="311" t="s">
        <v>244</v>
      </c>
      <c r="G198" s="292" t="s">
        <v>1286</v>
      </c>
      <c r="H198" s="317" t="s">
        <v>1286</v>
      </c>
      <c r="I198" s="472" t="s">
        <v>1288</v>
      </c>
    </row>
    <row r="199" spans="1:30" x14ac:dyDescent="0.15">
      <c r="A199" s="15" t="s">
        <v>8</v>
      </c>
      <c r="B199" s="15" t="s">
        <v>220</v>
      </c>
      <c r="C199" s="33"/>
      <c r="D199" s="46" t="s">
        <v>238</v>
      </c>
      <c r="E199" s="46" t="s">
        <v>198</v>
      </c>
      <c r="F199" s="46" t="s">
        <v>316</v>
      </c>
      <c r="G199" s="216">
        <v>5.7000000000000002E-2</v>
      </c>
      <c r="H199" s="317">
        <f t="shared" ref="H199:H200" si="18">1/G199</f>
        <v>17.543859649122805</v>
      </c>
      <c r="I199" s="472"/>
    </row>
    <row r="200" spans="1:30" x14ac:dyDescent="0.15">
      <c r="A200" s="15" t="s">
        <v>8</v>
      </c>
      <c r="B200" s="15" t="s">
        <v>221</v>
      </c>
      <c r="C200" s="33"/>
      <c r="D200" s="46" t="s">
        <v>238</v>
      </c>
      <c r="E200" s="46" t="s">
        <v>196</v>
      </c>
      <c r="F200" s="46" t="s">
        <v>316</v>
      </c>
      <c r="G200" s="216">
        <f>0.602*(AVERAGE(0.076,0.127,0.178,0.229,0.28))</f>
        <v>0.10715599999999999</v>
      </c>
      <c r="H200" s="317">
        <f t="shared" si="18"/>
        <v>9.3321885848669233</v>
      </c>
      <c r="I200" s="472"/>
    </row>
    <row r="201" spans="1:30" x14ac:dyDescent="0.15">
      <c r="A201" s="15" t="s">
        <v>8</v>
      </c>
      <c r="B201" s="311" t="s">
        <v>222</v>
      </c>
      <c r="C201" s="33"/>
      <c r="D201" s="46" t="s">
        <v>238</v>
      </c>
      <c r="E201" s="46" t="s">
        <v>37</v>
      </c>
      <c r="F201" s="14" t="s">
        <v>244</v>
      </c>
      <c r="G201" s="292" t="s">
        <v>1286</v>
      </c>
      <c r="H201" s="317" t="s">
        <v>1286</v>
      </c>
      <c r="I201" s="472" t="s">
        <v>1288</v>
      </c>
    </row>
    <row r="202" spans="1:30" x14ac:dyDescent="0.15">
      <c r="A202" s="15" t="s">
        <v>8</v>
      </c>
      <c r="B202" s="311" t="s">
        <v>223</v>
      </c>
      <c r="C202" s="278"/>
      <c r="D202" s="46" t="s">
        <v>238</v>
      </c>
      <c r="E202" s="46" t="s">
        <v>627</v>
      </c>
      <c r="F202" s="14" t="s">
        <v>244</v>
      </c>
      <c r="G202" s="292" t="s">
        <v>1286</v>
      </c>
      <c r="H202" s="317" t="s">
        <v>1286</v>
      </c>
      <c r="I202" s="472" t="s">
        <v>1288</v>
      </c>
    </row>
    <row r="203" spans="1:30" x14ac:dyDescent="0.15">
      <c r="A203" s="15" t="s">
        <v>8</v>
      </c>
      <c r="B203" s="311" t="s">
        <v>224</v>
      </c>
      <c r="C203" s="278"/>
      <c r="D203" s="46" t="s">
        <v>238</v>
      </c>
      <c r="E203" s="46" t="s">
        <v>624</v>
      </c>
      <c r="F203" s="14" t="s">
        <v>244</v>
      </c>
      <c r="G203" s="292" t="s">
        <v>1286</v>
      </c>
      <c r="H203" s="317" t="s">
        <v>1286</v>
      </c>
      <c r="I203" s="472" t="s">
        <v>1288</v>
      </c>
    </row>
    <row r="204" spans="1:30" x14ac:dyDescent="0.15">
      <c r="A204" s="15" t="s">
        <v>8</v>
      </c>
      <c r="B204" s="15" t="s">
        <v>225</v>
      </c>
      <c r="C204" s="33"/>
      <c r="D204" s="46" t="s">
        <v>238</v>
      </c>
      <c r="E204" s="46" t="s">
        <v>256</v>
      </c>
      <c r="F204" s="311" t="str">
        <f>IF('Dairy processing conversions'!L$42&gt;'Dairy processing conversions'!M$42,"Farm weight (milk fat equivalent basis)","Farm weight (skim solids basis)")</f>
        <v>Farm weight (milk fat equivalent basis)</v>
      </c>
      <c r="G204" s="305">
        <f>IF(F204="Farm weight (milk fat equivalent basis)",Fat_content/'Dairy processing conversions'!C33,IF('Dairy processing conversions'!D33&gt;0,Skimsolid_content/'Dairy processing conversions'!D33,"yield undefined"))</f>
        <v>0.19639065817409765</v>
      </c>
      <c r="H204" s="317">
        <f t="shared" ref="H204:H209" si="19">IF(G204="yield undefined",0,1/G204)</f>
        <v>5.0918918918918923</v>
      </c>
      <c r="I204" s="38"/>
    </row>
    <row r="205" spans="1:30" x14ac:dyDescent="0.15">
      <c r="A205" s="15" t="s">
        <v>8</v>
      </c>
      <c r="B205" s="15" t="s">
        <v>186</v>
      </c>
      <c r="C205" s="33"/>
      <c r="D205" s="46" t="s">
        <v>238</v>
      </c>
      <c r="E205" s="46" t="s">
        <v>256</v>
      </c>
      <c r="F205" s="311" t="str">
        <f>IF('Dairy processing conversions'!L$42&gt;'Dairy processing conversions'!M$42,"Farm weight (milk fat equivalent basis)","Farm weight (skim solids basis)")</f>
        <v>Farm weight (milk fat equivalent basis)</v>
      </c>
      <c r="G205" s="305">
        <f>IF(F205="Farm weight (milk fat equivalent basis)",Fat_content/'Dairy processing conversions'!C34,IF('Dairy processing conversions'!D34&gt;0,Skimsolid_content/'Dairy processing conversions'!D34,"yield undefined"))</f>
        <v>0.33913840513290555</v>
      </c>
      <c r="H205" s="317">
        <f t="shared" si="19"/>
        <v>2.948648648648649</v>
      </c>
      <c r="I205" s="38"/>
    </row>
    <row r="206" spans="1:30" x14ac:dyDescent="0.15">
      <c r="A206" s="15" t="s">
        <v>8</v>
      </c>
      <c r="B206" s="15" t="s">
        <v>226</v>
      </c>
      <c r="C206" s="33"/>
      <c r="D206" s="46" t="s">
        <v>238</v>
      </c>
      <c r="E206" s="46" t="s">
        <v>256</v>
      </c>
      <c r="F206" s="311" t="str">
        <f>IF('Dairy processing conversions'!L$42&gt;'Dairy processing conversions'!M$42,"Farm weight (milk fat equivalent basis)","Farm weight (skim solids basis)")</f>
        <v>Farm weight (milk fat equivalent basis)</v>
      </c>
      <c r="G206" s="305">
        <f>IF(F206="Farm weight (milk fat equivalent basis)",Fat_content/'Dairy processing conversions'!C35,IF('Dairy processing conversions'!D35&gt;0,Skimsolid_content/'Dairy processing conversions'!D35,"yield undefined"))</f>
        <v>0.10317902955939766</v>
      </c>
      <c r="H206" s="317">
        <f t="shared" si="19"/>
        <v>9.6918918918918919</v>
      </c>
      <c r="I206" s="38"/>
    </row>
    <row r="207" spans="1:30" x14ac:dyDescent="0.15">
      <c r="A207" s="15" t="s">
        <v>8</v>
      </c>
      <c r="B207" s="15" t="s">
        <v>227</v>
      </c>
      <c r="C207" s="33"/>
      <c r="D207" s="46" t="s">
        <v>238</v>
      </c>
      <c r="E207" s="46" t="s">
        <v>256</v>
      </c>
      <c r="F207" s="311" t="str">
        <f>IF('Dairy processing conversions'!L$42&gt;'Dairy processing conversions'!M$42,"Farm weight (milk fat equivalent basis)","Farm weight (skim solids basis)")</f>
        <v>Farm weight (milk fat equivalent basis)</v>
      </c>
      <c r="G207" s="305">
        <f>IF(F207="Farm weight (milk fat equivalent basis)",Fat_content/'Dairy processing conversions'!C36,IF('Dairy processing conversions'!D36&gt;0,Skimsolid_content/'Dairy processing conversions'!D36,"yield undefined"))</f>
        <v>0.21374927787406123</v>
      </c>
      <c r="H207" s="317">
        <f t="shared" si="19"/>
        <v>4.6783783783783788</v>
      </c>
      <c r="I207" s="38"/>
    </row>
    <row r="208" spans="1:30" x14ac:dyDescent="0.15">
      <c r="A208" s="15" t="s">
        <v>8</v>
      </c>
      <c r="B208" s="15" t="s">
        <v>228</v>
      </c>
      <c r="C208" s="33"/>
      <c r="D208" s="46" t="s">
        <v>238</v>
      </c>
      <c r="E208" s="46" t="s">
        <v>256</v>
      </c>
      <c r="F208" s="311" t="str">
        <f>IF('Dairy processing conversions'!L$42&gt;'Dairy processing conversions'!M$42,"Farm weight (milk fat equivalent basis)","Farm weight (skim solids basis)")</f>
        <v>Farm weight (milk fat equivalent basis)</v>
      </c>
      <c r="G208" s="305">
        <f>IF(F208="Farm weight (milk fat equivalent basis)",Fat_content/'Dairy processing conversions'!C37,IF('Dairy processing conversions'!D37&gt;0,Skimsolid_content/'Dairy processing conversions'!D37,"yield undefined"))</f>
        <v>0.11212121212121211</v>
      </c>
      <c r="H208" s="317">
        <f t="shared" si="19"/>
        <v>8.9189189189189193</v>
      </c>
      <c r="I208" s="38"/>
    </row>
    <row r="209" spans="1:9" x14ac:dyDescent="0.15">
      <c r="A209" s="315" t="s">
        <v>8</v>
      </c>
      <c r="B209" s="315" t="s">
        <v>187</v>
      </c>
      <c r="C209" s="99"/>
      <c r="D209" s="309" t="s">
        <v>238</v>
      </c>
      <c r="E209" s="309" t="s">
        <v>256</v>
      </c>
      <c r="F209" s="311" t="str">
        <f>IF('Dairy processing conversions'!L$42&gt;'Dairy processing conversions'!M$42,"Farm weight (milk fat equivalent basis)","Farm weight (skim solids basis)")</f>
        <v>Farm weight (milk fat equivalent basis)</v>
      </c>
      <c r="G209" s="305">
        <f>IF(F209="Farm weight (milk fat equivalent basis)",Fat_content/'Dairy processing conversions'!C38,IF('Dairy processing conversions'!D38&gt;0,Skimsolid_content/'Dairy processing conversions'!D38,"yield undefined"))</f>
        <v>0.48620236530880417</v>
      </c>
      <c r="H209" s="317">
        <f t="shared" si="19"/>
        <v>2.0567567567567568</v>
      </c>
      <c r="I209" s="38"/>
    </row>
    <row r="210" spans="1:9" s="308" customFormat="1" x14ac:dyDescent="0.15">
      <c r="A210" s="152" t="s">
        <v>700</v>
      </c>
      <c r="B210" s="152"/>
      <c r="C210" s="178"/>
      <c r="D210" s="152"/>
      <c r="E210" s="152"/>
      <c r="F210" s="152"/>
      <c r="G210" s="369"/>
      <c r="H210" s="364"/>
      <c r="I210" s="39"/>
    </row>
    <row r="211" spans="1:9" x14ac:dyDescent="0.15">
      <c r="A211" s="15" t="s">
        <v>9</v>
      </c>
      <c r="B211" s="15" t="s">
        <v>229</v>
      </c>
      <c r="C211" s="33" t="s">
        <v>63</v>
      </c>
      <c r="D211" s="46" t="s">
        <v>250</v>
      </c>
      <c r="E211" s="46" t="s">
        <v>257</v>
      </c>
      <c r="F211" s="15" t="s">
        <v>244</v>
      </c>
      <c r="G211" s="272">
        <v>0.14019999999999999</v>
      </c>
      <c r="H211" s="317">
        <f>1/G211</f>
        <v>7.132667617689016</v>
      </c>
      <c r="I211" s="472" t="s">
        <v>606</v>
      </c>
    </row>
    <row r="212" spans="1:9" x14ac:dyDescent="0.15">
      <c r="A212" s="15" t="s">
        <v>9</v>
      </c>
      <c r="B212" s="15" t="s">
        <v>230</v>
      </c>
      <c r="C212" s="33" t="s">
        <v>63</v>
      </c>
      <c r="D212" s="46" t="s">
        <v>250</v>
      </c>
      <c r="E212" s="46" t="s">
        <v>38</v>
      </c>
      <c r="F212" s="15" t="s">
        <v>244</v>
      </c>
      <c r="G212" s="74">
        <v>0.7</v>
      </c>
      <c r="H212" s="199">
        <f>1/G212</f>
        <v>1.4285714285714286</v>
      </c>
      <c r="I212" s="38"/>
    </row>
    <row r="213" spans="1:9" x14ac:dyDescent="0.15">
      <c r="A213" s="15" t="s">
        <v>9</v>
      </c>
      <c r="B213" s="15" t="s">
        <v>231</v>
      </c>
      <c r="C213" s="33" t="s">
        <v>63</v>
      </c>
      <c r="D213" s="46" t="s">
        <v>250</v>
      </c>
      <c r="E213" s="46" t="s">
        <v>38</v>
      </c>
      <c r="F213" s="46" t="s">
        <v>244</v>
      </c>
      <c r="G213" s="323">
        <v>0.49099999999999999</v>
      </c>
      <c r="H213" s="317">
        <f>1/G213</f>
        <v>2.0366598778004072</v>
      </c>
      <c r="I213" s="540" t="s">
        <v>1139</v>
      </c>
    </row>
    <row r="214" spans="1:9" x14ac:dyDescent="0.15">
      <c r="A214" s="15" t="s">
        <v>9</v>
      </c>
      <c r="B214" s="15" t="s">
        <v>232</v>
      </c>
      <c r="C214" s="33" t="s">
        <v>63</v>
      </c>
      <c r="D214" s="46" t="s">
        <v>250</v>
      </c>
      <c r="E214" s="46" t="s">
        <v>38</v>
      </c>
      <c r="F214" s="15" t="s">
        <v>244</v>
      </c>
      <c r="G214" s="216">
        <v>0.49099999999999999</v>
      </c>
      <c r="H214" s="199">
        <f>1/G214</f>
        <v>2.0366598778004072</v>
      </c>
      <c r="I214" s="472" t="s">
        <v>265</v>
      </c>
    </row>
    <row r="215" spans="1:9" x14ac:dyDescent="0.15">
      <c r="A215" s="15" t="s">
        <v>9</v>
      </c>
      <c r="B215" s="15" t="s">
        <v>233</v>
      </c>
      <c r="C215" s="33" t="s">
        <v>63</v>
      </c>
      <c r="D215" s="46" t="s">
        <v>250</v>
      </c>
      <c r="E215" s="46" t="s">
        <v>629</v>
      </c>
      <c r="F215" s="14" t="s">
        <v>238</v>
      </c>
      <c r="G215" s="287" t="s">
        <v>1280</v>
      </c>
      <c r="H215" s="287" t="s">
        <v>1280</v>
      </c>
      <c r="I215" s="472"/>
    </row>
    <row r="216" spans="1:9" x14ac:dyDescent="0.15">
      <c r="A216" s="315" t="s">
        <v>9</v>
      </c>
      <c r="B216" s="315" t="s">
        <v>234</v>
      </c>
      <c r="C216" s="99" t="s">
        <v>63</v>
      </c>
      <c r="D216" s="309" t="s">
        <v>250</v>
      </c>
      <c r="E216" s="309" t="s">
        <v>234</v>
      </c>
      <c r="F216" s="309" t="s">
        <v>238</v>
      </c>
      <c r="G216" s="216">
        <v>0.78</v>
      </c>
      <c r="H216" s="317">
        <f>1/G216</f>
        <v>1.2820512820512819</v>
      </c>
      <c r="I216" s="473"/>
    </row>
    <row r="217" spans="1:9" s="308" customFormat="1" x14ac:dyDescent="0.15">
      <c r="A217" s="152" t="s">
        <v>701</v>
      </c>
      <c r="B217" s="152"/>
      <c r="C217" s="178"/>
      <c r="D217" s="152"/>
      <c r="E217" s="152"/>
      <c r="F217" s="152"/>
      <c r="G217" s="370"/>
      <c r="H217" s="364"/>
      <c r="I217" s="474"/>
    </row>
    <row r="218" spans="1:9" x14ac:dyDescent="0.15">
      <c r="F218" s="5"/>
      <c r="G218" s="286"/>
      <c r="H218" s="286"/>
      <c r="I218" s="5"/>
    </row>
    <row r="219" spans="1:9" x14ac:dyDescent="0.15">
      <c r="A219" s="308" t="s">
        <v>1278</v>
      </c>
      <c r="F219" s="14"/>
      <c r="G219" s="286"/>
      <c r="H219" s="286"/>
      <c r="I219" s="14"/>
    </row>
    <row r="267" ht="12.75" customHeight="1" x14ac:dyDescent="0.15"/>
    <row r="268" ht="12.75" customHeight="1" x14ac:dyDescent="0.15"/>
    <row r="269" ht="12.75" customHeight="1" x14ac:dyDescent="0.15"/>
    <row r="280" spans="12:13" x14ac:dyDescent="0.15">
      <c r="L280">
        <f>1.6/56</f>
        <v>2.8571428571428574E-2</v>
      </c>
      <c r="M280" s="294" t="s">
        <v>659</v>
      </c>
    </row>
  </sheetData>
  <mergeCells count="1">
    <mergeCell ref="A2:H4"/>
  </mergeCells>
  <phoneticPr fontId="4" type="noConversion"/>
  <pageMargins left="0.75" right="0.75" top="1" bottom="1" header="0.5" footer="0.5"/>
  <pageSetup scale="1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opLeftCell="A23" workbookViewId="0">
      <selection activeCell="L48" sqref="L48"/>
    </sheetView>
  </sheetViews>
  <sheetFormatPr baseColWidth="10" defaultColWidth="8.83203125" defaultRowHeight="13" x14ac:dyDescent="0.15"/>
  <cols>
    <col min="1" max="1" width="40.5" bestFit="1" customWidth="1"/>
    <col min="2" max="2" width="13.1640625" bestFit="1" customWidth="1"/>
    <col min="3" max="5" width="10.6640625" customWidth="1"/>
    <col min="6" max="6" width="2.6640625" customWidth="1"/>
    <col min="7" max="10" width="10.6640625" customWidth="1"/>
    <col min="11" max="11" width="2.6640625" style="308" customWidth="1"/>
    <col min="12" max="14" width="10.6640625" customWidth="1"/>
    <col min="15" max="15" width="122.1640625" bestFit="1" customWidth="1"/>
  </cols>
  <sheetData>
    <row r="1" spans="1:15" x14ac:dyDescent="0.15">
      <c r="A1" s="1" t="s">
        <v>270</v>
      </c>
      <c r="F1" s="308"/>
      <c r="H1" s="189"/>
      <c r="I1" s="189"/>
    </row>
    <row r="2" spans="1:15" ht="78" x14ac:dyDescent="0.15">
      <c r="A2" s="50" t="s">
        <v>271</v>
      </c>
      <c r="B2" s="50" t="s">
        <v>237</v>
      </c>
      <c r="C2" s="30" t="s">
        <v>272</v>
      </c>
      <c r="D2" s="30" t="s">
        <v>273</v>
      </c>
      <c r="E2" s="30" t="s">
        <v>274</v>
      </c>
      <c r="F2" s="30"/>
      <c r="G2" s="30" t="s">
        <v>298</v>
      </c>
      <c r="H2" s="30" t="s">
        <v>299</v>
      </c>
      <c r="I2" s="30" t="s">
        <v>300</v>
      </c>
      <c r="J2" s="30" t="s">
        <v>301</v>
      </c>
      <c r="K2" s="30"/>
      <c r="L2" s="56" t="s">
        <v>295</v>
      </c>
      <c r="M2" s="56" t="s">
        <v>296</v>
      </c>
      <c r="N2" s="56" t="s">
        <v>297</v>
      </c>
      <c r="O2" s="56" t="s">
        <v>2</v>
      </c>
    </row>
    <row r="3" spans="1:15" x14ac:dyDescent="0.15">
      <c r="A3" s="33" t="s">
        <v>158</v>
      </c>
      <c r="B3" s="51" t="s">
        <v>302</v>
      </c>
      <c r="C3" s="87">
        <v>3.3000000000000002E-2</v>
      </c>
      <c r="D3" s="87">
        <v>8.2500000000000004E-2</v>
      </c>
      <c r="E3" s="461">
        <f t="shared" ref="E3:E9" si="0">SUM(C3:D3)</f>
        <v>0.11550000000000001</v>
      </c>
      <c r="F3" s="52"/>
      <c r="G3" s="466">
        <f>(Fluidmilk_yogurt_intake*'Food preferences'!I133*'Nutrient composition'!F140*365/454)</f>
        <v>54.883716904300954</v>
      </c>
      <c r="H3" s="466">
        <f>G3/((100-'Losses and waste'!E140)/100)/((100-'Losses and waste'!F140)/100)</f>
        <v>68.604646130376182</v>
      </c>
      <c r="I3" s="466">
        <f>H3/((100-'Losses and waste'!G140)/100)</f>
        <v>77.959825148154749</v>
      </c>
      <c r="J3" s="466">
        <f>I3/((100-'Losses and waste'!H140)/100)</f>
        <v>77.959825148154749</v>
      </c>
      <c r="K3" s="57"/>
      <c r="L3" s="57">
        <f t="shared" ref="L3:L38" si="1">$J3*C3</f>
        <v>2.572674229889107</v>
      </c>
      <c r="M3" s="57">
        <f t="shared" ref="M3:M38" si="2">$J3*D3</f>
        <v>6.431685574722767</v>
      </c>
      <c r="N3" s="57">
        <f t="shared" ref="N3:N38" si="3">$J3*E3</f>
        <v>9.0043598046118731</v>
      </c>
    </row>
    <row r="4" spans="1:15" x14ac:dyDescent="0.15">
      <c r="A4" s="33" t="s">
        <v>159</v>
      </c>
      <c r="B4" s="51" t="s">
        <v>302</v>
      </c>
      <c r="C4" s="87">
        <v>1.9800000000000002E-2</v>
      </c>
      <c r="D4" s="87">
        <v>8.2500000000000004E-2</v>
      </c>
      <c r="E4" s="461">
        <f t="shared" si="0"/>
        <v>0.1023</v>
      </c>
      <c r="F4" s="52"/>
      <c r="G4" s="466">
        <f>(Fluidmilk_yogurt_intake*'Food preferences'!I134*'Nutrient composition'!F141*365/454)</f>
        <v>62.940953218687028</v>
      </c>
      <c r="H4" s="466">
        <f>G4/((100-'Losses and waste'!E141)/100)/((100-'Losses and waste'!F141)/100)</f>
        <v>78.676191523358781</v>
      </c>
      <c r="I4" s="466">
        <f>H4/((100-'Losses and waste'!G141)/100)</f>
        <v>89.404763094725894</v>
      </c>
      <c r="J4" s="466">
        <f>I4/((100-'Losses and waste'!H141)/100)</f>
        <v>89.404763094725894</v>
      </c>
      <c r="K4" s="57"/>
      <c r="L4" s="57">
        <f t="shared" si="1"/>
        <v>1.7702143092755729</v>
      </c>
      <c r="M4" s="57">
        <f t="shared" si="2"/>
        <v>7.3758929553148862</v>
      </c>
      <c r="N4" s="57">
        <f t="shared" si="3"/>
        <v>9.1461072645904586</v>
      </c>
      <c r="O4" s="15" t="s">
        <v>293</v>
      </c>
    </row>
    <row r="5" spans="1:15" x14ac:dyDescent="0.15">
      <c r="A5" s="33" t="s">
        <v>160</v>
      </c>
      <c r="B5" s="51" t="s">
        <v>302</v>
      </c>
      <c r="C5" s="87">
        <v>9.7000000000000003E-3</v>
      </c>
      <c r="D5" s="87">
        <v>8.2500000000000004E-2</v>
      </c>
      <c r="E5" s="461">
        <f t="shared" si="0"/>
        <v>9.2200000000000004E-2</v>
      </c>
      <c r="F5" s="52"/>
      <c r="G5" s="466">
        <f>(Fluidmilk_yogurt_intake*'Food preferences'!I135*'Nutrient composition'!F142*365/454)</f>
        <v>22.848387983218384</v>
      </c>
      <c r="H5" s="466">
        <f>G5/((100-'Losses and waste'!E142)/100)/((100-'Losses and waste'!F142)/100)</f>
        <v>28.560484979022977</v>
      </c>
      <c r="I5" s="466">
        <f>H5/((100-'Losses and waste'!G142)/100)</f>
        <v>32.455096567071564</v>
      </c>
      <c r="J5" s="466">
        <f>I5/((100-'Losses and waste'!H142)/100)</f>
        <v>32.455096567071564</v>
      </c>
      <c r="K5" s="57"/>
      <c r="L5" s="57">
        <f t="shared" si="1"/>
        <v>0.31481443670059417</v>
      </c>
      <c r="M5" s="57">
        <f t="shared" si="2"/>
        <v>2.6775454667834042</v>
      </c>
      <c r="N5" s="57">
        <f t="shared" si="3"/>
        <v>2.9923599034839983</v>
      </c>
      <c r="O5" s="15" t="s">
        <v>293</v>
      </c>
    </row>
    <row r="6" spans="1:15" x14ac:dyDescent="0.15">
      <c r="A6" s="33" t="s">
        <v>161</v>
      </c>
      <c r="B6" s="51" t="s">
        <v>302</v>
      </c>
      <c r="C6" s="87">
        <v>2E-3</v>
      </c>
      <c r="D6" s="87">
        <v>8.2500000000000004E-2</v>
      </c>
      <c r="E6" s="461">
        <f t="shared" si="0"/>
        <v>8.4500000000000006E-2</v>
      </c>
      <c r="F6" s="52"/>
      <c r="G6" s="466">
        <f>(Fluidmilk_yogurt_intake*'Food preferences'!I136*'Nutrient composition'!F143*365/454)</f>
        <v>28.151536404912875</v>
      </c>
      <c r="H6" s="466">
        <f>G6/((100-'Losses and waste'!E143)/100)/((100-'Losses and waste'!F143)/100)</f>
        <v>35.18942050614109</v>
      </c>
      <c r="I6" s="466">
        <f>H6/((100-'Losses and waste'!G143)/100)</f>
        <v>39.987977847887599</v>
      </c>
      <c r="J6" s="466">
        <f>I6/((100-'Losses and waste'!H143)/100)</f>
        <v>39.987977847887599</v>
      </c>
      <c r="K6" s="57"/>
      <c r="L6" s="57">
        <f t="shared" si="1"/>
        <v>7.9975955695775203E-2</v>
      </c>
      <c r="M6" s="57">
        <f t="shared" si="2"/>
        <v>3.2990081724507272</v>
      </c>
      <c r="N6" s="57">
        <f t="shared" si="3"/>
        <v>3.3789841281465023</v>
      </c>
    </row>
    <row r="7" spans="1:15" x14ac:dyDescent="0.15">
      <c r="A7" s="33" t="s">
        <v>162</v>
      </c>
      <c r="B7" s="51" t="s">
        <v>302</v>
      </c>
      <c r="C7" s="87">
        <v>3.3000000000000002E-2</v>
      </c>
      <c r="D7" s="87">
        <v>8.2500000000000004E-2</v>
      </c>
      <c r="E7" s="461">
        <f t="shared" si="0"/>
        <v>0.11550000000000001</v>
      </c>
      <c r="F7" s="52"/>
      <c r="G7" s="466">
        <f>(Fluidmilk_yogurt_intake*'Food preferences'!I137*'Nutrient composition'!F144*365/454)</f>
        <v>2.2459986644723431</v>
      </c>
      <c r="H7" s="466">
        <f>G7/((100-'Losses and waste'!E144)/100)/((100-'Losses and waste'!F144)/100)</f>
        <v>2.8074983305904286</v>
      </c>
      <c r="I7" s="466">
        <f>H7/((100-'Losses and waste'!G144)/100)</f>
        <v>3.190339012034578</v>
      </c>
      <c r="J7" s="466">
        <f>I7/((100-'Losses and waste'!H144)/100)</f>
        <v>3.190339012034578</v>
      </c>
      <c r="K7" s="57"/>
      <c r="L7" s="57">
        <f t="shared" si="1"/>
        <v>0.10528118739714108</v>
      </c>
      <c r="M7" s="57">
        <f t="shared" si="2"/>
        <v>0.26320296849285268</v>
      </c>
      <c r="N7" s="57">
        <f t="shared" si="3"/>
        <v>0.36848415588999378</v>
      </c>
    </row>
    <row r="8" spans="1:15" x14ac:dyDescent="0.15">
      <c r="A8" s="33" t="s">
        <v>163</v>
      </c>
      <c r="B8" s="51" t="s">
        <v>302</v>
      </c>
      <c r="C8" s="87">
        <v>1.7399999999999999E-2</v>
      </c>
      <c r="D8" s="87">
        <v>8.2500000000000004E-2</v>
      </c>
      <c r="E8" s="461">
        <f t="shared" si="0"/>
        <v>9.9900000000000003E-2</v>
      </c>
      <c r="F8" s="52"/>
      <c r="G8" s="466">
        <f>(Fluidmilk_yogurt_intake*'Food preferences'!I138*'Nutrient composition'!F145*365/454)</f>
        <v>12.797852068348929</v>
      </c>
      <c r="H8" s="466">
        <f>G8/((100-'Losses and waste'!E145)/100)/((100-'Losses and waste'!F145)/100)</f>
        <v>15.99731508543616</v>
      </c>
      <c r="I8" s="466">
        <f>H8/((100-'Losses and waste'!G145)/100)</f>
        <v>18.178767142541091</v>
      </c>
      <c r="J8" s="466">
        <f>I8/((100-'Losses and waste'!H145)/100)</f>
        <v>18.178767142541091</v>
      </c>
      <c r="K8" s="57"/>
      <c r="L8" s="57">
        <f t="shared" si="1"/>
        <v>0.31631054828021493</v>
      </c>
      <c r="M8" s="57">
        <f t="shared" si="2"/>
        <v>1.4997482892596401</v>
      </c>
      <c r="N8" s="57">
        <f t="shared" si="3"/>
        <v>1.816058837539855</v>
      </c>
    </row>
    <row r="9" spans="1:15" x14ac:dyDescent="0.15">
      <c r="A9" s="33" t="s">
        <v>164</v>
      </c>
      <c r="B9" s="51" t="s">
        <v>302</v>
      </c>
      <c r="C9" s="87">
        <v>1.7399999999999999E-2</v>
      </c>
      <c r="D9" s="87">
        <v>8.2500000000000004E-2</v>
      </c>
      <c r="E9" s="461">
        <f t="shared" si="0"/>
        <v>9.9900000000000003E-2</v>
      </c>
      <c r="F9" s="52"/>
      <c r="G9" s="466">
        <f>(Fluidmilk_yogurt_intake*'Food preferences'!I139*'Nutrient composition'!F146*365/454)</f>
        <v>12.827268482817676</v>
      </c>
      <c r="H9" s="466">
        <f>G9/((100-'Losses and waste'!E146)/100)/((100-'Losses and waste'!F146)/100)</f>
        <v>16.034085603522094</v>
      </c>
      <c r="I9" s="466">
        <f>H9/((100-'Losses and waste'!G146)/100)</f>
        <v>18.220551822184198</v>
      </c>
      <c r="J9" s="466">
        <f>I9/((100-'Losses and waste'!H146)/100)</f>
        <v>18.220551822184198</v>
      </c>
      <c r="K9" s="57"/>
      <c r="L9" s="57">
        <f t="shared" si="1"/>
        <v>0.31703760170600503</v>
      </c>
      <c r="M9" s="57">
        <f t="shared" si="2"/>
        <v>1.5031955253301965</v>
      </c>
      <c r="N9" s="57">
        <f t="shared" si="3"/>
        <v>1.8202331270362015</v>
      </c>
      <c r="O9" s="15" t="s">
        <v>288</v>
      </c>
    </row>
    <row r="10" spans="1:15" x14ac:dyDescent="0.15">
      <c r="A10" s="33" t="s">
        <v>165</v>
      </c>
      <c r="B10" s="51" t="s">
        <v>302</v>
      </c>
      <c r="C10" s="462">
        <f>E10*0.5</f>
        <v>0.30499999999999999</v>
      </c>
      <c r="D10" s="463">
        <f t="shared" ref="D10:D19" si="4">E10-C10</f>
        <v>0.30499999999999999</v>
      </c>
      <c r="E10" s="87">
        <f>1-0.39</f>
        <v>0.61</v>
      </c>
      <c r="F10" s="17"/>
      <c r="G10" s="466">
        <f>(Cheese_otherdairy_intake*'Food preferences'!I140*'Nutrient composition'!F147*365/454)</f>
        <v>8.2409719720231642</v>
      </c>
      <c r="H10" s="466">
        <f>G10/((100-'Losses and waste'!E147)/100)/((100-'Losses and waste'!F147)/100)</f>
        <v>9.472381577038119</v>
      </c>
      <c r="I10" s="466">
        <f>H10/((100-'Losses and waste'!G147)/100)</f>
        <v>10.077001677700126</v>
      </c>
      <c r="J10" s="466">
        <f>I10/((100-'Losses and waste'!H147)/100)</f>
        <v>10.077001677700126</v>
      </c>
      <c r="K10" s="57"/>
      <c r="L10" s="57">
        <f t="shared" si="1"/>
        <v>3.0734855116985385</v>
      </c>
      <c r="M10" s="57">
        <f t="shared" si="2"/>
        <v>3.0734855116985385</v>
      </c>
      <c r="N10" s="57">
        <f t="shared" si="3"/>
        <v>6.1469710233970769</v>
      </c>
      <c r="O10" s="15" t="s">
        <v>289</v>
      </c>
    </row>
    <row r="11" spans="1:15" x14ac:dyDescent="0.15">
      <c r="A11" s="33" t="s">
        <v>166</v>
      </c>
      <c r="B11" s="51" t="s">
        <v>302</v>
      </c>
      <c r="C11" s="462">
        <f>0.45*E11</f>
        <v>0.24750000000000003</v>
      </c>
      <c r="D11" s="463">
        <f t="shared" si="4"/>
        <v>0.30249999999999999</v>
      </c>
      <c r="E11" s="462">
        <f>1-0.45</f>
        <v>0.55000000000000004</v>
      </c>
      <c r="F11" s="53"/>
      <c r="G11" s="466">
        <f>(Cheese_otherdairy_intake*'Food preferences'!I141*'Nutrient composition'!F148*365/454)</f>
        <v>0.94641895110377594</v>
      </c>
      <c r="H11" s="466">
        <f>G11/((100-'Losses and waste'!E148)/100)/((100-'Losses and waste'!F148)/100)</f>
        <v>1.0878378748319264</v>
      </c>
      <c r="I11" s="466">
        <f>H11/((100-'Losses and waste'!G148)/100)</f>
        <v>1.1572743349275814</v>
      </c>
      <c r="J11" s="466">
        <f>I11/((100-'Losses and waste'!H148)/100)</f>
        <v>1.1572743349275814</v>
      </c>
      <c r="K11" s="57"/>
      <c r="L11" s="57">
        <f t="shared" si="1"/>
        <v>0.28642539789457644</v>
      </c>
      <c r="M11" s="57">
        <f t="shared" si="2"/>
        <v>0.35007548631559338</v>
      </c>
      <c r="N11" s="57">
        <f t="shared" si="3"/>
        <v>0.63650088421016981</v>
      </c>
      <c r="O11" s="15" t="s">
        <v>289</v>
      </c>
    </row>
    <row r="12" spans="1:15" x14ac:dyDescent="0.15">
      <c r="A12" s="33" t="s">
        <v>167</v>
      </c>
      <c r="B12" s="51" t="s">
        <v>302</v>
      </c>
      <c r="C12" s="462">
        <f>E12*0.38</f>
        <v>0.25079999999999997</v>
      </c>
      <c r="D12" s="463">
        <f t="shared" si="4"/>
        <v>0.40919999999999995</v>
      </c>
      <c r="E12" s="87">
        <f>1-0.34</f>
        <v>0.65999999999999992</v>
      </c>
      <c r="F12" s="17"/>
      <c r="G12" s="466">
        <f>(Cheese_otherdairy_intake*'Food preferences'!I142*'Nutrient composition'!F149*365/454)</f>
        <v>0.22912848152695486</v>
      </c>
      <c r="H12" s="466">
        <f>G12/((100-'Losses and waste'!E149)/100)/((100-'Losses and waste'!F149)/100)</f>
        <v>0.26336607072063778</v>
      </c>
      <c r="I12" s="466">
        <f>H12/((100-'Losses and waste'!G149)/100)</f>
        <v>0.28017667097940191</v>
      </c>
      <c r="J12" s="466">
        <f>I12/((100-'Losses and waste'!H149)/100)</f>
        <v>0.28017667097940191</v>
      </c>
      <c r="K12" s="57"/>
      <c r="L12" s="57">
        <f t="shared" si="1"/>
        <v>7.0268309081633992E-2</v>
      </c>
      <c r="M12" s="57">
        <f t="shared" si="2"/>
        <v>0.11464829376477124</v>
      </c>
      <c r="N12" s="57">
        <f t="shared" si="3"/>
        <v>0.18491660284640524</v>
      </c>
      <c r="O12" s="15" t="s">
        <v>289</v>
      </c>
    </row>
    <row r="13" spans="1:15" x14ac:dyDescent="0.15">
      <c r="A13" s="33" t="s">
        <v>168</v>
      </c>
      <c r="B13" s="51" t="s">
        <v>302</v>
      </c>
      <c r="C13" s="462">
        <f>0.32*E13</f>
        <v>0.21759999999999999</v>
      </c>
      <c r="D13" s="463">
        <f t="shared" si="4"/>
        <v>0.46239999999999992</v>
      </c>
      <c r="E13" s="87">
        <f>1-0.32</f>
        <v>0.67999999999999994</v>
      </c>
      <c r="F13" s="17"/>
      <c r="G13" s="466">
        <f>(Cheese_otherdairy_intake*'Food preferences'!I143*'Nutrient composition'!F150*365/454)</f>
        <v>0.55829421909117061</v>
      </c>
      <c r="H13" s="466">
        <f>G13/((100-'Losses and waste'!E150)/100)/((100-'Losses and waste'!F150)/100)</f>
        <v>0.64171749320824212</v>
      </c>
      <c r="I13" s="466">
        <f>H13/((100-'Losses and waste'!G150)/100)</f>
        <v>0.68267818426408744</v>
      </c>
      <c r="J13" s="466">
        <f>I13/((100-'Losses and waste'!H150)/100)</f>
        <v>0.68267818426408744</v>
      </c>
      <c r="K13" s="57"/>
      <c r="L13" s="57">
        <f t="shared" si="1"/>
        <v>0.14855077289586541</v>
      </c>
      <c r="M13" s="57">
        <f t="shared" si="2"/>
        <v>0.31567039240371397</v>
      </c>
      <c r="N13" s="57">
        <f t="shared" si="3"/>
        <v>0.46422116529957941</v>
      </c>
      <c r="O13" s="15" t="s">
        <v>289</v>
      </c>
    </row>
    <row r="14" spans="1:15" x14ac:dyDescent="0.15">
      <c r="A14" s="33" t="s">
        <v>169</v>
      </c>
      <c r="B14" s="51" t="s">
        <v>302</v>
      </c>
      <c r="C14" s="462">
        <f>0.45*E14</f>
        <v>0.18000000000000002</v>
      </c>
      <c r="D14" s="463">
        <f t="shared" si="4"/>
        <v>0.22</v>
      </c>
      <c r="E14" s="87">
        <f>1-0.6</f>
        <v>0.4</v>
      </c>
      <c r="F14" s="17"/>
      <c r="G14" s="466">
        <f>(Cheese_otherdairy_intake*'Food preferences'!I144*'Nutrient composition'!F151*365/454)</f>
        <v>8.7446285765223557</v>
      </c>
      <c r="H14" s="466">
        <f>G14/((100-'Losses and waste'!E151)/100)/((100-'Losses and waste'!F151)/100)</f>
        <v>10.051297214393513</v>
      </c>
      <c r="I14" s="466">
        <f>H14/((100-'Losses and waste'!G151)/100)</f>
        <v>10.692869377014375</v>
      </c>
      <c r="J14" s="466">
        <f>I14/((100-'Losses and waste'!H151)/100)</f>
        <v>10.692869377014375</v>
      </c>
      <c r="K14" s="57"/>
      <c r="L14" s="57">
        <f t="shared" si="1"/>
        <v>1.9247164878625878</v>
      </c>
      <c r="M14" s="57">
        <f t="shared" si="2"/>
        <v>2.3524312629431625</v>
      </c>
      <c r="N14" s="57">
        <f t="shared" si="3"/>
        <v>4.2771477508057503</v>
      </c>
      <c r="O14" s="15" t="s">
        <v>294</v>
      </c>
    </row>
    <row r="15" spans="1:15" x14ac:dyDescent="0.15">
      <c r="A15" s="33" t="s">
        <v>170</v>
      </c>
      <c r="B15" s="51" t="s">
        <v>302</v>
      </c>
      <c r="C15" s="462">
        <v>0.1298</v>
      </c>
      <c r="D15" s="463">
        <f t="shared" si="4"/>
        <v>0.15320000000000003</v>
      </c>
      <c r="E15" s="462">
        <f>1-0.717</f>
        <v>0.28300000000000003</v>
      </c>
      <c r="F15" s="53"/>
      <c r="G15" s="466">
        <f>(Cheese_otherdairy_intake*'Food preferences'!I145*'Nutrient composition'!F152*365/454)</f>
        <v>0.6853776059837976</v>
      </c>
      <c r="H15" s="466">
        <f>G15/((100-'Losses and waste'!E152)/100)/((100-'Losses and waste'!F152)/100)</f>
        <v>0.78779035170551448</v>
      </c>
      <c r="I15" s="466">
        <f>H15/((100-'Losses and waste'!G152)/100)</f>
        <v>0.83807484223990902</v>
      </c>
      <c r="J15" s="466">
        <f>I15/((100-'Losses and waste'!H152)/100)</f>
        <v>0.83807484223990902</v>
      </c>
      <c r="K15" s="57"/>
      <c r="L15" s="57">
        <f t="shared" si="1"/>
        <v>0.10878211452274018</v>
      </c>
      <c r="M15" s="57">
        <f t="shared" si="2"/>
        <v>0.12839306583115409</v>
      </c>
      <c r="N15" s="57">
        <f t="shared" si="3"/>
        <v>0.23717518035389429</v>
      </c>
      <c r="O15" s="15" t="s">
        <v>292</v>
      </c>
    </row>
    <row r="16" spans="1:15" x14ac:dyDescent="0.15">
      <c r="A16" s="33" t="s">
        <v>171</v>
      </c>
      <c r="B16" s="51" t="s">
        <v>302</v>
      </c>
      <c r="C16" s="462">
        <f>0.43*E16</f>
        <v>0.25370000000000004</v>
      </c>
      <c r="D16" s="463">
        <f t="shared" si="4"/>
        <v>0.33630000000000004</v>
      </c>
      <c r="E16" s="87">
        <f>1-0.41</f>
        <v>0.59000000000000008</v>
      </c>
      <c r="F16" s="17"/>
      <c r="G16" s="466">
        <f>(Cheese_otherdairy_intake*'Food preferences'!I146*'Nutrient composition'!F153*365/454)</f>
        <v>1.0164274975087655</v>
      </c>
      <c r="H16" s="466">
        <f>G16/((100-'Losses and waste'!E153)/100)/((100-'Losses and waste'!F153)/100)</f>
        <v>1.1683074684008798</v>
      </c>
      <c r="I16" s="466">
        <f>H16/((100-'Losses and waste'!G153)/100)</f>
        <v>1.2428802855328509</v>
      </c>
      <c r="J16" s="466">
        <f>I16/((100-'Losses and waste'!H153)/100)</f>
        <v>1.2428802855328509</v>
      </c>
      <c r="K16" s="57"/>
      <c r="L16" s="57">
        <f t="shared" si="1"/>
        <v>0.31531872843968434</v>
      </c>
      <c r="M16" s="57">
        <f t="shared" si="2"/>
        <v>0.41798064002469781</v>
      </c>
      <c r="N16" s="57">
        <f t="shared" si="3"/>
        <v>0.73329936846438215</v>
      </c>
      <c r="O16" s="15" t="s">
        <v>289</v>
      </c>
    </row>
    <row r="17" spans="1:15" x14ac:dyDescent="0.15">
      <c r="A17" s="33" t="s">
        <v>172</v>
      </c>
      <c r="B17" s="51" t="s">
        <v>302</v>
      </c>
      <c r="C17" s="462">
        <f>0.5*E17</f>
        <v>0.28000000000000003</v>
      </c>
      <c r="D17" s="463">
        <f t="shared" si="4"/>
        <v>0.28000000000000003</v>
      </c>
      <c r="E17" s="87">
        <f>1-0.44</f>
        <v>0.56000000000000005</v>
      </c>
      <c r="F17" s="17"/>
      <c r="G17" s="466">
        <f>(Cheese_otherdairy_intake*'Food preferences'!I147*'Nutrient composition'!F154*365/454)</f>
        <v>2.0454029362909344E-2</v>
      </c>
      <c r="H17" s="466">
        <f>G17/((100-'Losses and waste'!E154)/100)/((100-'Losses and waste'!F154)/100)</f>
        <v>2.3510378578056716E-2</v>
      </c>
      <c r="I17" s="466">
        <f>H17/((100-'Losses and waste'!G154)/100)</f>
        <v>2.5011041040485869E-2</v>
      </c>
      <c r="J17" s="466">
        <f>I17/((100-'Losses and waste'!H154)/100)</f>
        <v>2.5011041040485869E-2</v>
      </c>
      <c r="K17" s="57"/>
      <c r="L17" s="57">
        <f t="shared" si="1"/>
        <v>7.0030914913360442E-3</v>
      </c>
      <c r="M17" s="57">
        <f t="shared" si="2"/>
        <v>7.0030914913360442E-3</v>
      </c>
      <c r="N17" s="57">
        <f t="shared" si="3"/>
        <v>1.4006182982672088E-2</v>
      </c>
      <c r="O17" s="15" t="s">
        <v>289</v>
      </c>
    </row>
    <row r="18" spans="1:15" x14ac:dyDescent="0.15">
      <c r="A18" s="33" t="s">
        <v>173</v>
      </c>
      <c r="B18" s="51" t="s">
        <v>302</v>
      </c>
      <c r="C18" s="462">
        <f>0.5*E18</f>
        <v>0.27</v>
      </c>
      <c r="D18" s="463">
        <f t="shared" si="4"/>
        <v>0.27</v>
      </c>
      <c r="E18" s="87">
        <f>1-0.46</f>
        <v>0.54</v>
      </c>
      <c r="F18" s="17"/>
      <c r="G18" s="466">
        <f>(Cheese_otherdairy_intake*'Food preferences'!I148*'Nutrient composition'!F155*365/454)</f>
        <v>0.28566556473869859</v>
      </c>
      <c r="H18" s="466">
        <f>G18/((100-'Losses and waste'!E155)/100)/((100-'Losses and waste'!F155)/100)</f>
        <v>0.32835122383758458</v>
      </c>
      <c r="I18" s="466">
        <f>H18/((100-'Losses and waste'!G155)/100)</f>
        <v>0.34930981259317512</v>
      </c>
      <c r="J18" s="466">
        <f>I18/((100-'Losses and waste'!H155)/100)</f>
        <v>0.34930981259317512</v>
      </c>
      <c r="K18" s="57"/>
      <c r="L18" s="57">
        <f t="shared" si="1"/>
        <v>9.4313649400157282E-2</v>
      </c>
      <c r="M18" s="57">
        <f t="shared" si="2"/>
        <v>9.4313649400157282E-2</v>
      </c>
      <c r="N18" s="57">
        <f t="shared" si="3"/>
        <v>0.18862729880031456</v>
      </c>
      <c r="O18" s="15" t="s">
        <v>289</v>
      </c>
    </row>
    <row r="19" spans="1:15" x14ac:dyDescent="0.15">
      <c r="A19" s="33" t="s">
        <v>174</v>
      </c>
      <c r="B19" s="51" t="s">
        <v>302</v>
      </c>
      <c r="C19" s="462">
        <f>0.5*E19</f>
        <v>0.27</v>
      </c>
      <c r="D19" s="463">
        <f t="shared" si="4"/>
        <v>0.27</v>
      </c>
      <c r="E19" s="87">
        <f>1-0.46</f>
        <v>0.54</v>
      </c>
      <c r="F19" s="17"/>
      <c r="G19" s="466">
        <f>(Cheese_otherdairy_intake*'Food preferences'!I149*'Nutrient composition'!F156*365/454)</f>
        <v>0.15981907599490411</v>
      </c>
      <c r="H19" s="466">
        <f>G19/((100-'Losses and waste'!E156)/100)/((100-'Losses and waste'!F156)/100)</f>
        <v>0.1837000873504645</v>
      </c>
      <c r="I19" s="466">
        <f>H19/((100-'Losses and waste'!G156)/100)</f>
        <v>0.19542562484091969</v>
      </c>
      <c r="J19" s="466">
        <f>I19/((100-'Losses and waste'!H156)/100)</f>
        <v>0.19542562484091969</v>
      </c>
      <c r="K19" s="57"/>
      <c r="L19" s="57">
        <f t="shared" si="1"/>
        <v>5.2764918707048317E-2</v>
      </c>
      <c r="M19" s="57">
        <f t="shared" si="2"/>
        <v>5.2764918707048317E-2</v>
      </c>
      <c r="N19" s="57">
        <f t="shared" si="3"/>
        <v>0.10552983741409663</v>
      </c>
      <c r="O19" s="15" t="s">
        <v>289</v>
      </c>
    </row>
    <row r="20" spans="1:15" x14ac:dyDescent="0.15">
      <c r="A20" s="51" t="s">
        <v>290</v>
      </c>
      <c r="B20" s="51" t="s">
        <v>302</v>
      </c>
      <c r="C20" s="463">
        <f>AVERAGE(C16:C19)</f>
        <v>0.26842500000000002</v>
      </c>
      <c r="D20" s="463">
        <f>AVERAGE(D16:D19)</f>
        <v>0.28907500000000003</v>
      </c>
      <c r="E20" s="463">
        <f>AVERAGE(E16:E19)</f>
        <v>0.55750000000000011</v>
      </c>
      <c r="F20" s="54"/>
      <c r="G20" s="466">
        <f>(Cheese_otherdairy_intake*'Food preferences'!I150*'Nutrient composition'!F157*365/454)</f>
        <v>3.781838701053307</v>
      </c>
      <c r="H20" s="466">
        <f>G20/((100-'Losses and waste'!E157)/100)/((100-'Losses and waste'!F157)/100)</f>
        <v>4.3469410356934564</v>
      </c>
      <c r="I20" s="466">
        <f>H20/((100-'Losses and waste'!G157)/100)</f>
        <v>4.6244053571206987</v>
      </c>
      <c r="J20" s="466">
        <f>I20/((100-'Losses and waste'!H157)/100)</f>
        <v>4.6244053571206987</v>
      </c>
      <c r="K20" s="57"/>
      <c r="L20" s="57">
        <f t="shared" si="1"/>
        <v>1.2413060079851237</v>
      </c>
      <c r="M20" s="57">
        <f t="shared" si="2"/>
        <v>1.336799978609666</v>
      </c>
      <c r="N20" s="57">
        <f t="shared" si="3"/>
        <v>2.5781059865947902</v>
      </c>
      <c r="O20" s="15" t="s">
        <v>291</v>
      </c>
    </row>
    <row r="21" spans="1:15" x14ac:dyDescent="0.15">
      <c r="A21" s="51" t="s">
        <v>275</v>
      </c>
      <c r="B21" s="51" t="s">
        <v>302</v>
      </c>
      <c r="C21" s="87">
        <v>0.04</v>
      </c>
      <c r="D21" s="463">
        <f>E21-C21</f>
        <v>0.15999999999999995</v>
      </c>
      <c r="E21" s="87">
        <f>1-0.8</f>
        <v>0.19999999999999996</v>
      </c>
      <c r="F21" s="17"/>
      <c r="G21" s="466">
        <f>(Cheese_otherdairy_intake*'Food preferences'!I151*'Nutrient composition'!F158*365/454)</f>
        <v>0.75115592955074906</v>
      </c>
      <c r="H21" s="466">
        <f>G21/((100-'Losses and waste'!E158)/100)/((100-'Losses and waste'!F158)/100)</f>
        <v>0.93894491193843632</v>
      </c>
      <c r="I21" s="466">
        <f>H21/((100-'Losses and waste'!G158)/100)</f>
        <v>1.0669828544754958</v>
      </c>
      <c r="J21" s="466">
        <f>I21/((100-'Losses and waste'!H158)/100)</f>
        <v>1.0669828544754958</v>
      </c>
      <c r="K21" s="57"/>
      <c r="L21" s="57">
        <f t="shared" si="1"/>
        <v>4.267931417901983E-2</v>
      </c>
      <c r="M21" s="57">
        <f t="shared" si="2"/>
        <v>0.17071725671607926</v>
      </c>
      <c r="N21" s="57">
        <f t="shared" si="3"/>
        <v>0.21339657089509911</v>
      </c>
    </row>
    <row r="22" spans="1:15" x14ac:dyDescent="0.15">
      <c r="A22" s="51" t="s">
        <v>276</v>
      </c>
      <c r="B22" s="51" t="s">
        <v>302</v>
      </c>
      <c r="C22" s="87">
        <v>5.0000000000000001E-3</v>
      </c>
      <c r="D22" s="463">
        <f>E22-C22</f>
        <v>0.17000000000000004</v>
      </c>
      <c r="E22" s="87">
        <f>1-0.825</f>
        <v>0.17500000000000004</v>
      </c>
      <c r="F22" s="17"/>
      <c r="G22" s="466">
        <f>(Cheese_otherdairy_intake*'Food preferences'!I152*'Nutrient composition'!F159*365/454)</f>
        <v>0.9484135274453408</v>
      </c>
      <c r="H22" s="466">
        <f>G22/((100-'Losses and waste'!E159)/100)/((100-'Losses and waste'!F159)/100)</f>
        <v>1.185516909306676</v>
      </c>
      <c r="I22" s="466">
        <f>H22/((100-'Losses and waste'!G159)/100)</f>
        <v>1.3471783060303135</v>
      </c>
      <c r="J22" s="466">
        <f>I22/((100-'Losses and waste'!H159)/100)</f>
        <v>1.3471783060303135</v>
      </c>
      <c r="K22" s="57"/>
      <c r="L22" s="57">
        <f t="shared" si="1"/>
        <v>6.7358915301515675E-3</v>
      </c>
      <c r="M22" s="57">
        <f t="shared" si="2"/>
        <v>0.22902031202515336</v>
      </c>
      <c r="N22" s="57">
        <f t="shared" si="3"/>
        <v>0.23575620355530494</v>
      </c>
    </row>
    <row r="23" spans="1:15" x14ac:dyDescent="0.15">
      <c r="A23" s="33" t="s">
        <v>178</v>
      </c>
      <c r="B23" s="51" t="s">
        <v>302</v>
      </c>
      <c r="C23" s="87">
        <v>0.1</v>
      </c>
      <c r="D23" s="87">
        <f>E23-C23</f>
        <v>0.1</v>
      </c>
      <c r="E23" s="461">
        <v>0.2</v>
      </c>
      <c r="F23" s="52"/>
      <c r="G23" s="466">
        <f>(Cheese_otherdairy_intake*'Food preferences'!I153*'Nutrient composition'!F160*365/454)</f>
        <v>9.1525569129150135</v>
      </c>
      <c r="H23" s="466">
        <f>G23/((100-'Losses and waste'!E160)/100)/((100-'Losses and waste'!F160)/100)</f>
        <v>11.440696141143766</v>
      </c>
      <c r="I23" s="466">
        <f>H23/((100-'Losses and waste'!G160)/100)</f>
        <v>13.000791069481552</v>
      </c>
      <c r="J23" s="466">
        <f>I23/((100-'Losses and waste'!H160)/100)</f>
        <v>13.000791069481552</v>
      </c>
      <c r="K23" s="57"/>
      <c r="L23" s="57">
        <f t="shared" si="1"/>
        <v>1.3000791069481554</v>
      </c>
      <c r="M23" s="57">
        <f t="shared" si="2"/>
        <v>1.3000791069481554</v>
      </c>
      <c r="N23" s="57">
        <f t="shared" si="3"/>
        <v>2.6001582138963109</v>
      </c>
      <c r="O23" s="15" t="s">
        <v>284</v>
      </c>
    </row>
    <row r="24" spans="1:15" x14ac:dyDescent="0.15">
      <c r="A24" s="33" t="s">
        <v>179</v>
      </c>
      <c r="B24" s="51" t="s">
        <v>302</v>
      </c>
      <c r="C24" s="87">
        <v>0.02</v>
      </c>
      <c r="D24" s="87">
        <f>E24-C24</f>
        <v>0.09</v>
      </c>
      <c r="E24" s="461">
        <v>0.11</v>
      </c>
      <c r="F24" s="52"/>
      <c r="G24" s="466">
        <f>(Cheese_otherdairy_intake*'Food preferences'!I154*'Nutrient composition'!F161*365/454)</f>
        <v>5.9137313786717876</v>
      </c>
      <c r="H24" s="466">
        <f>G24/((100-'Losses and waste'!E161)/100)/((100-'Losses and waste'!F161)/100)</f>
        <v>7.3921642233397344</v>
      </c>
      <c r="I24" s="466">
        <f>H24/((100-'Losses and waste'!G161)/100)</f>
        <v>8.4001866174315172</v>
      </c>
      <c r="J24" s="466">
        <f>I24/((100-'Losses and waste'!H161)/100)</f>
        <v>8.4001866174315172</v>
      </c>
      <c r="K24" s="57"/>
      <c r="L24" s="57">
        <f t="shared" si="1"/>
        <v>0.16800373234863034</v>
      </c>
      <c r="M24" s="57">
        <f t="shared" si="2"/>
        <v>0.7560167955688365</v>
      </c>
      <c r="N24" s="57">
        <f t="shared" si="3"/>
        <v>0.92402052791746692</v>
      </c>
      <c r="O24" s="15" t="s">
        <v>285</v>
      </c>
    </row>
    <row r="25" spans="1:15" x14ac:dyDescent="0.15">
      <c r="A25" s="51" t="s">
        <v>277</v>
      </c>
      <c r="B25" s="51" t="s">
        <v>302</v>
      </c>
      <c r="C25" s="87">
        <v>0.01</v>
      </c>
      <c r="D25" s="87">
        <f>E25-C25</f>
        <v>0.01</v>
      </c>
      <c r="E25" s="461">
        <v>0.02</v>
      </c>
      <c r="F25" s="52"/>
      <c r="G25" s="466">
        <f>(Cheese_otherdairy_intake*'Food preferences'!I155*'Nutrient composition'!F162*365/454)</f>
        <v>3.2661349201596912</v>
      </c>
      <c r="H25" s="466">
        <f>G25/((100-'Losses and waste'!E162)/100)/((100-'Losses and waste'!F162)/100)</f>
        <v>4.0826686501996141</v>
      </c>
      <c r="I25" s="466">
        <f>H25/((100-'Losses and waste'!G162)/100)</f>
        <v>4.6393961934086523</v>
      </c>
      <c r="J25" s="466">
        <f>I25/((100-'Losses and waste'!H162)/100)</f>
        <v>4.6393961934086523</v>
      </c>
      <c r="K25" s="57"/>
      <c r="L25" s="57">
        <f t="shared" si="1"/>
        <v>4.6393961934086521E-2</v>
      </c>
      <c r="M25" s="57">
        <f t="shared" si="2"/>
        <v>4.6393961934086521E-2</v>
      </c>
      <c r="N25" s="57">
        <f t="shared" si="3"/>
        <v>9.2787923868173042E-2</v>
      </c>
      <c r="O25" s="15" t="s">
        <v>286</v>
      </c>
    </row>
    <row r="26" spans="1:15" x14ac:dyDescent="0.15">
      <c r="A26" s="51" t="s">
        <v>281</v>
      </c>
      <c r="B26" s="51" t="s">
        <v>302</v>
      </c>
      <c r="C26" s="87">
        <f>AVERAGE(0.079,0.085)</f>
        <v>8.2000000000000003E-2</v>
      </c>
      <c r="D26" s="87">
        <f>AVERAGE(0.18,0.195)</f>
        <v>0.1875</v>
      </c>
      <c r="E26" s="461">
        <f t="shared" ref="E26:E36" si="5">SUM(C26:D26)</f>
        <v>0.26950000000000002</v>
      </c>
      <c r="F26" s="52"/>
      <c r="G26" s="466">
        <f>(Cheese_otherdairy_intake*'Food preferences'!I156*'Nutrient composition'!F163*365/454)</f>
        <v>1.0840594348613601</v>
      </c>
      <c r="H26" s="466">
        <f>G26/((100-'Losses and waste'!E163)/100)/((100-'Losses and waste'!F163)/100)</f>
        <v>1.3550742935767002</v>
      </c>
      <c r="I26" s="466">
        <f>H26/((100-'Losses and waste'!G163)/100)</f>
        <v>1.5398571517917048</v>
      </c>
      <c r="J26" s="466">
        <f>I26/((100-'Losses and waste'!H163)/100)</f>
        <v>1.5398571517917048</v>
      </c>
      <c r="K26" s="57"/>
      <c r="L26" s="57">
        <f t="shared" si="1"/>
        <v>0.12626828644691979</v>
      </c>
      <c r="M26" s="57">
        <f t="shared" si="2"/>
        <v>0.28872321596094463</v>
      </c>
      <c r="N26" s="57">
        <f t="shared" si="3"/>
        <v>0.41499150240786448</v>
      </c>
      <c r="O26" s="15" t="s">
        <v>287</v>
      </c>
    </row>
    <row r="27" spans="1:15" x14ac:dyDescent="0.15">
      <c r="A27" s="51" t="s">
        <v>282</v>
      </c>
      <c r="B27" s="51" t="s">
        <v>302</v>
      </c>
      <c r="C27" s="87">
        <f>AVERAGE(0.079,0.085)</f>
        <v>8.2000000000000003E-2</v>
      </c>
      <c r="D27" s="87">
        <f>AVERAGE(0.18,0.195)</f>
        <v>0.1875</v>
      </c>
      <c r="E27" s="461">
        <f t="shared" si="5"/>
        <v>0.26950000000000002</v>
      </c>
      <c r="F27" s="52"/>
      <c r="G27" s="466">
        <f>(Cheese_otherdairy_intake*'Food preferences'!I157*'Nutrient composition'!F164*365/454)</f>
        <v>0.45366178245506333</v>
      </c>
      <c r="H27" s="466">
        <f>G27/((100-'Losses and waste'!E164)/100)/((100-'Losses and waste'!F164)/100)</f>
        <v>0.5670772280688291</v>
      </c>
      <c r="I27" s="466">
        <f>H27/((100-'Losses and waste'!G164)/100)</f>
        <v>0.64440594098730575</v>
      </c>
      <c r="J27" s="466">
        <f>I27/((100-'Losses and waste'!H164)/100)</f>
        <v>0.64440594098730575</v>
      </c>
      <c r="K27" s="57"/>
      <c r="L27" s="57">
        <f t="shared" si="1"/>
        <v>5.2841287160959073E-2</v>
      </c>
      <c r="M27" s="57">
        <f t="shared" si="2"/>
        <v>0.12082611393511983</v>
      </c>
      <c r="N27" s="57">
        <f t="shared" si="3"/>
        <v>0.17366740109607892</v>
      </c>
      <c r="O27" s="15" t="s">
        <v>287</v>
      </c>
    </row>
    <row r="28" spans="1:15" x14ac:dyDescent="0.15">
      <c r="A28" s="51" t="s">
        <v>283</v>
      </c>
      <c r="B28" s="51" t="s">
        <v>302</v>
      </c>
      <c r="C28" s="87">
        <v>2E-3</v>
      </c>
      <c r="D28" s="87">
        <v>0.29799999999999999</v>
      </c>
      <c r="E28" s="461">
        <f t="shared" si="5"/>
        <v>0.3</v>
      </c>
      <c r="F28" s="52"/>
      <c r="G28" s="466">
        <f>(Cheese_otherdairy_intake*'Food preferences'!I158*'Nutrient composition'!F165*365/454)</f>
        <v>3.4889088273495559</v>
      </c>
      <c r="H28" s="466">
        <f>G28/((100-'Losses and waste'!E165)/100)/((100-'Losses and waste'!F165)/100)</f>
        <v>4.361136034186945</v>
      </c>
      <c r="I28" s="466">
        <f>H28/((100-'Losses and waste'!G165)/100)</f>
        <v>4.9558364024851649</v>
      </c>
      <c r="J28" s="466">
        <f>I28/((100-'Losses and waste'!H165)/100)</f>
        <v>4.9558364024851649</v>
      </c>
      <c r="K28" s="57"/>
      <c r="L28" s="57">
        <f t="shared" si="1"/>
        <v>9.9116728049703298E-3</v>
      </c>
      <c r="M28" s="57">
        <f t="shared" si="2"/>
        <v>1.476839247940579</v>
      </c>
      <c r="N28" s="57">
        <f t="shared" si="3"/>
        <v>1.4867509207455494</v>
      </c>
    </row>
    <row r="29" spans="1:15" x14ac:dyDescent="0.15">
      <c r="A29" s="51" t="s">
        <v>278</v>
      </c>
      <c r="B29" s="51" t="s">
        <v>302</v>
      </c>
      <c r="C29" s="87">
        <v>0.26500000000000001</v>
      </c>
      <c r="D29" s="87">
        <v>0.71</v>
      </c>
      <c r="E29" s="461">
        <f t="shared" si="5"/>
        <v>0.97499999999999998</v>
      </c>
      <c r="F29" s="52"/>
      <c r="G29" s="466">
        <f>(Cheese_otherdairy_intake*'Food preferences'!I159*'Nutrient composition'!F166*365/454)</f>
        <v>5.3716115190977305E-2</v>
      </c>
      <c r="H29" s="466">
        <f>G29/((100-'Losses and waste'!E166)/100)/((100-'Losses and waste'!F166)/100)</f>
        <v>5.4258702213108391E-2</v>
      </c>
      <c r="I29" s="466">
        <f>H29/((100-'Losses and waste'!G165)/100)</f>
        <v>6.1657616151259538E-2</v>
      </c>
      <c r="J29" s="466">
        <f>I29/((100-'Losses and waste'!H165)/100)</f>
        <v>6.1657616151259538E-2</v>
      </c>
      <c r="K29" s="57"/>
      <c r="L29" s="57">
        <f t="shared" si="1"/>
        <v>1.633926828008378E-2</v>
      </c>
      <c r="M29" s="57">
        <f t="shared" si="2"/>
        <v>4.3776907467394273E-2</v>
      </c>
      <c r="N29" s="57">
        <f t="shared" si="3"/>
        <v>6.0116175747478046E-2</v>
      </c>
    </row>
    <row r="30" spans="1:15" x14ac:dyDescent="0.15">
      <c r="A30" s="51" t="s">
        <v>279</v>
      </c>
      <c r="B30" s="51" t="s">
        <v>302</v>
      </c>
      <c r="C30" s="87">
        <v>8.0000000000000002E-3</v>
      </c>
      <c r="D30" s="87">
        <v>0.96199999999999997</v>
      </c>
      <c r="E30" s="461">
        <f t="shared" si="5"/>
        <v>0.97</v>
      </c>
      <c r="F30" s="52"/>
      <c r="G30" s="466">
        <f>(Cheese_otherdairy_intake*'Food preferences'!I160*'Nutrient composition'!F167*365/454)</f>
        <v>1.6769510765972344</v>
      </c>
      <c r="H30" s="466">
        <f>G30/((100-'Losses and waste'!E167)/100)/((100-'Losses and waste'!F167)/100)</f>
        <v>1.6938899763608428</v>
      </c>
      <c r="I30" s="466">
        <f>H30/((100-'Losses and waste'!G166)/100)</f>
        <v>1.7109999761220636</v>
      </c>
      <c r="J30" s="466">
        <f>I30/((100-'Losses and waste'!H166)/100)</f>
        <v>1.7109999761220636</v>
      </c>
      <c r="K30" s="57"/>
      <c r="L30" s="57">
        <f t="shared" si="1"/>
        <v>1.3687999808976508E-2</v>
      </c>
      <c r="M30" s="57">
        <f t="shared" si="2"/>
        <v>1.6459819770294251</v>
      </c>
      <c r="N30" s="57">
        <f t="shared" si="3"/>
        <v>1.6596699768384016</v>
      </c>
    </row>
    <row r="31" spans="1:15" x14ac:dyDescent="0.15">
      <c r="A31" s="51" t="s">
        <v>280</v>
      </c>
      <c r="B31" s="51" t="s">
        <v>302</v>
      </c>
      <c r="C31" s="87">
        <v>5.2999999999999999E-2</v>
      </c>
      <c r="D31" s="87">
        <v>0.91900000000000004</v>
      </c>
      <c r="E31" s="461">
        <f t="shared" si="5"/>
        <v>0.97200000000000009</v>
      </c>
      <c r="F31" s="52"/>
      <c r="G31" s="466">
        <f>(Cheese_otherdairy_intake*'Food preferences'!I161*'Nutrient composition'!F168*365/454)</f>
        <v>0.23903445804556345</v>
      </c>
      <c r="H31" s="466">
        <f>G31/((100-'Losses and waste'!E168)/100)/((100-'Losses and waste'!F168)/100)</f>
        <v>0.24144894752077117</v>
      </c>
      <c r="I31" s="466">
        <f>H31/((100-'Losses and waste'!G167)/100)</f>
        <v>0.24388782577855675</v>
      </c>
      <c r="J31" s="466">
        <f>I31/((100-'Losses and waste'!H167)/100)</f>
        <v>0.24388782577855675</v>
      </c>
      <c r="K31" s="57"/>
      <c r="L31" s="57">
        <f t="shared" si="1"/>
        <v>1.2926054766263507E-2</v>
      </c>
      <c r="M31" s="57">
        <f t="shared" si="2"/>
        <v>0.22413291189049367</v>
      </c>
      <c r="N31" s="57">
        <f t="shared" si="3"/>
        <v>0.23705896665675719</v>
      </c>
    </row>
    <row r="32" spans="1:15" x14ac:dyDescent="0.15">
      <c r="A32" t="s">
        <v>218</v>
      </c>
      <c r="B32" s="51" t="s">
        <v>303</v>
      </c>
      <c r="C32" s="87">
        <v>0.8</v>
      </c>
      <c r="D32" s="87">
        <v>0.01</v>
      </c>
      <c r="E32" s="461">
        <f t="shared" si="5"/>
        <v>0.81</v>
      </c>
      <c r="F32" s="52"/>
      <c r="G32" s="466">
        <f>(Dairyfat_intake*'Food preferences'!I189*'Nutrient composition'!F197*365/454)</f>
        <v>2.0958775790375896</v>
      </c>
      <c r="H32" s="466">
        <f>G32/((100-'Losses and waste'!E197)/100)/((100-'Losses and waste'!F197)/100)</f>
        <v>2.4657383282795173</v>
      </c>
      <c r="I32" s="466">
        <f>H32/((100-'Losses and waste'!G197)/100)</f>
        <v>2.6513315357844269</v>
      </c>
      <c r="J32" s="466">
        <f>I32/((100-'Losses and waste'!H197)/100)</f>
        <v>3.301782734476248</v>
      </c>
      <c r="K32" s="57"/>
      <c r="L32" s="57">
        <f t="shared" si="1"/>
        <v>2.6414261875809988</v>
      </c>
      <c r="M32" s="57">
        <f t="shared" si="2"/>
        <v>3.3017827344762482E-2</v>
      </c>
      <c r="N32" s="57">
        <f t="shared" si="3"/>
        <v>2.6744440149257609</v>
      </c>
    </row>
    <row r="33" spans="1:16" x14ac:dyDescent="0.15">
      <c r="A33" s="49" t="s">
        <v>225</v>
      </c>
      <c r="B33" s="51" t="s">
        <v>303</v>
      </c>
      <c r="C33" s="87">
        <v>0.18840000000000001</v>
      </c>
      <c r="D33" s="87">
        <v>0</v>
      </c>
      <c r="E33" s="461">
        <f t="shared" si="5"/>
        <v>0.18840000000000001</v>
      </c>
      <c r="F33" s="52"/>
      <c r="G33" s="466">
        <f>(Dairyfat_intake*'Food preferences'!I214*'Nutrient composition'!F204*365/454)</f>
        <v>0.77293952888752604</v>
      </c>
      <c r="H33" s="466">
        <f>G33/((100-'Losses and waste'!E204)/100)/((100-'Losses and waste'!F204)/100)</f>
        <v>0.96617441110940749</v>
      </c>
      <c r="I33" s="466">
        <f>H33/((100-'Losses and waste'!G204)/100)</f>
        <v>1.0979254671697813</v>
      </c>
      <c r="J33" s="466">
        <f>I33/((100-'Losses and waste'!H204)/100)</f>
        <v>5.8276298682047827</v>
      </c>
      <c r="K33" s="57"/>
      <c r="L33" s="57">
        <f t="shared" si="1"/>
        <v>1.0979254671697811</v>
      </c>
      <c r="M33" s="57">
        <f t="shared" si="2"/>
        <v>0</v>
      </c>
      <c r="N33" s="57">
        <f t="shared" si="3"/>
        <v>1.0979254671697811</v>
      </c>
    </row>
    <row r="34" spans="1:16" x14ac:dyDescent="0.15">
      <c r="A34" t="s">
        <v>186</v>
      </c>
      <c r="B34" s="51" t="s">
        <v>303</v>
      </c>
      <c r="C34" s="87">
        <v>0.1091</v>
      </c>
      <c r="D34" s="87">
        <v>0</v>
      </c>
      <c r="E34" s="461">
        <f t="shared" si="5"/>
        <v>0.1091</v>
      </c>
      <c r="F34" s="52"/>
      <c r="G34" s="466">
        <f>(Dairyfat_intake*'Food preferences'!I215*'Nutrient composition'!F205*365/454)</f>
        <v>0.16389133161337457</v>
      </c>
      <c r="H34" s="466">
        <f>G34/((100-'Losses and waste'!E205)/100)/((100-'Losses and waste'!F205)/100)</f>
        <v>0.20486416451671821</v>
      </c>
      <c r="I34" s="466">
        <f>H34/((100-'Losses and waste'!G205)/100)</f>
        <v>0.23280018695081614</v>
      </c>
      <c r="J34" s="466">
        <f>I34/((100-'Losses and waste'!H205)/100)</f>
        <v>2.133823895057894</v>
      </c>
      <c r="K34" s="57"/>
      <c r="L34" s="57">
        <f t="shared" si="1"/>
        <v>0.23280018695081625</v>
      </c>
      <c r="M34" s="57">
        <f t="shared" si="2"/>
        <v>0</v>
      </c>
      <c r="N34" s="57">
        <f t="shared" si="3"/>
        <v>0.23280018695081625</v>
      </c>
    </row>
    <row r="35" spans="1:16" x14ac:dyDescent="0.15">
      <c r="A35" t="s">
        <v>226</v>
      </c>
      <c r="B35" s="51" t="s">
        <v>303</v>
      </c>
      <c r="C35" s="87">
        <v>0.35859999999999997</v>
      </c>
      <c r="D35" s="87">
        <v>0</v>
      </c>
      <c r="E35" s="461">
        <f t="shared" si="5"/>
        <v>0.35859999999999997</v>
      </c>
      <c r="F35" s="52"/>
      <c r="G35" s="466">
        <f>(Dairyfat_intake*'Food preferences'!I216*'Nutrient composition'!F206*365/454)</f>
        <v>0.22016452303873191</v>
      </c>
      <c r="H35" s="466">
        <f>G35/((100-'Losses and waste'!E206)/100)/((100-'Losses and waste'!F206)/100)</f>
        <v>0.27520565379841488</v>
      </c>
      <c r="I35" s="466">
        <f>H35/((100-'Losses and waste'!G206)/100)</f>
        <v>0.31273369749819874</v>
      </c>
      <c r="J35" s="466">
        <f>I35/((100-'Losses and waste'!H206)/100)</f>
        <v>0.87209620049692904</v>
      </c>
      <c r="K35" s="57"/>
      <c r="L35" s="57">
        <f t="shared" si="1"/>
        <v>0.31273369749819874</v>
      </c>
      <c r="M35" s="57">
        <f t="shared" si="2"/>
        <v>0</v>
      </c>
      <c r="N35" s="57">
        <f t="shared" si="3"/>
        <v>0.31273369749819874</v>
      </c>
    </row>
    <row r="36" spans="1:16" x14ac:dyDescent="0.15">
      <c r="A36" t="s">
        <v>227</v>
      </c>
      <c r="B36" s="51" t="s">
        <v>303</v>
      </c>
      <c r="C36" s="87">
        <v>0.1731</v>
      </c>
      <c r="D36" s="87">
        <v>0</v>
      </c>
      <c r="E36" s="461">
        <f t="shared" si="5"/>
        <v>0.1731</v>
      </c>
      <c r="F36" s="52"/>
      <c r="G36" s="466">
        <f>(Dairyfat_intake*'Food preferences'!I217*'Nutrient composition'!F207*365/454)</f>
        <v>0.38588364006217934</v>
      </c>
      <c r="H36" s="466">
        <f>G36/((100-'Losses and waste'!E207)/100)/((100-'Losses and waste'!F207)/100)</f>
        <v>0.48235455007772415</v>
      </c>
      <c r="I36" s="466">
        <f>H36/((100-'Losses and waste'!G207)/100)</f>
        <v>0.54813017054286839</v>
      </c>
      <c r="J36" s="466">
        <f>I36/((100-'Losses and waste'!H207)/100)</f>
        <v>3.1665521117438953</v>
      </c>
      <c r="K36" s="57"/>
      <c r="L36" s="57">
        <f t="shared" si="1"/>
        <v>0.54813017054286828</v>
      </c>
      <c r="M36" s="57">
        <f t="shared" si="2"/>
        <v>0</v>
      </c>
      <c r="N36" s="57">
        <f t="shared" si="3"/>
        <v>0.54813017054286828</v>
      </c>
    </row>
    <row r="37" spans="1:16" x14ac:dyDescent="0.15">
      <c r="A37" t="s">
        <v>228</v>
      </c>
      <c r="B37" s="51" t="s">
        <v>303</v>
      </c>
      <c r="C37" s="87">
        <v>0.33</v>
      </c>
      <c r="D37" s="461">
        <f>E37-C37</f>
        <v>0.11999999999999994</v>
      </c>
      <c r="E37" s="462">
        <f>1-0.55</f>
        <v>0.44999999999999996</v>
      </c>
      <c r="F37" s="53"/>
      <c r="G37" s="466">
        <f>(Dairyfat_intake*'Food preferences'!I218*'Nutrient composition'!F208*365/454)</f>
        <v>0.37087546647287239</v>
      </c>
      <c r="H37" s="466">
        <f>G37/((100-'Losses and waste'!E208)/100)/((100-'Losses and waste'!F208)/100)</f>
        <v>0.46359433309109049</v>
      </c>
      <c r="I37" s="466">
        <f>H37/((100-'Losses and waste'!G208)/100)</f>
        <v>0.52681174214896642</v>
      </c>
      <c r="J37" s="466">
        <f>I37/((100-'Losses and waste'!H208)/100)</f>
        <v>1.5963992186332314</v>
      </c>
      <c r="K37" s="57"/>
      <c r="L37" s="57">
        <f t="shared" si="1"/>
        <v>0.52681174214896642</v>
      </c>
      <c r="M37" s="57">
        <f t="shared" si="2"/>
        <v>0.19156790623598768</v>
      </c>
      <c r="N37" s="57">
        <f t="shared" si="3"/>
        <v>0.71837964838495405</v>
      </c>
      <c r="O37" s="15" t="s">
        <v>289</v>
      </c>
    </row>
    <row r="38" spans="1:16" x14ac:dyDescent="0.15">
      <c r="A38" s="8" t="s">
        <v>187</v>
      </c>
      <c r="B38" s="58" t="s">
        <v>303</v>
      </c>
      <c r="C38" s="464">
        <v>7.6100000000000001E-2</v>
      </c>
      <c r="D38" s="464">
        <v>8.2500000000000004E-2</v>
      </c>
      <c r="E38" s="465">
        <f>SUM(C38:D38)</f>
        <v>0.15860000000000002</v>
      </c>
      <c r="F38" s="55"/>
      <c r="G38" s="467">
        <f>(Dairyfat_intake*'Food preferences'!I219*'Nutrient composition'!F209*365/454)</f>
        <v>1.0191719433981642E-2</v>
      </c>
      <c r="H38" s="467">
        <f>G38/((100-'Losses and waste'!E209)/100)/((100-'Losses and waste'!F209)/100)</f>
        <v>1.2739649292477052E-2</v>
      </c>
      <c r="I38" s="467">
        <f>H38/((100-'Losses and waste'!G209)/100)</f>
        <v>1.447687419599665E-2</v>
      </c>
      <c r="J38" s="467">
        <f>I38/((100-'Losses and waste'!H209)/100)</f>
        <v>0.19023487773977202</v>
      </c>
      <c r="K38" s="59"/>
      <c r="L38" s="59">
        <f t="shared" si="1"/>
        <v>1.447687419599665E-2</v>
      </c>
      <c r="M38" s="59">
        <f t="shared" si="2"/>
        <v>1.5694377413531191E-2</v>
      </c>
      <c r="N38" s="59">
        <f t="shared" si="3"/>
        <v>3.0171251609527844E-2</v>
      </c>
      <c r="O38" s="8"/>
    </row>
    <row r="39" spans="1:16" x14ac:dyDescent="0.15">
      <c r="F39" s="308"/>
      <c r="G39" s="96">
        <f>SUM(G3:G38)</f>
        <v>252.41288655345664</v>
      </c>
      <c r="H39" s="686">
        <f>SUM(H3:H38)</f>
        <v>312.40839004222693</v>
      </c>
      <c r="I39" s="686">
        <f>SUM(I3:I38)</f>
        <v>352.55781747128799</v>
      </c>
      <c r="J39" s="686">
        <f>SUM(J3:J38)</f>
        <v>364.26212670334962</v>
      </c>
      <c r="K39" s="96"/>
      <c r="L39" s="96">
        <f>SUM(L3:L38)</f>
        <v>19.969414161219536</v>
      </c>
      <c r="M39" s="96">
        <f>SUM(M3:M38)</f>
        <v>37.83663316195485</v>
      </c>
      <c r="N39" s="96">
        <f>SUM(N3:N38)</f>
        <v>57.806047323174404</v>
      </c>
    </row>
    <row r="40" spans="1:16" ht="14" thickBot="1" x14ac:dyDescent="0.2">
      <c r="F40" s="308"/>
      <c r="H40" s="189"/>
      <c r="I40" s="189"/>
      <c r="J40" s="9"/>
      <c r="K40" s="9"/>
    </row>
    <row r="41" spans="1:16" ht="26" x14ac:dyDescent="0.15">
      <c r="A41" s="310"/>
      <c r="B41" s="15"/>
      <c r="F41" s="308"/>
      <c r="H41" s="880" t="s">
        <v>306</v>
      </c>
      <c r="I41" s="881"/>
      <c r="J41" s="881"/>
      <c r="K41" s="468"/>
      <c r="L41" s="469" t="s">
        <v>307</v>
      </c>
      <c r="M41" s="469" t="s">
        <v>308</v>
      </c>
      <c r="N41" s="470" t="s">
        <v>310</v>
      </c>
    </row>
    <row r="42" spans="1:16" x14ac:dyDescent="0.15">
      <c r="F42" s="308"/>
      <c r="H42" s="882" t="s">
        <v>311</v>
      </c>
      <c r="I42" s="883"/>
      <c r="J42" s="883"/>
      <c r="K42" s="416"/>
      <c r="L42" s="681">
        <f>L39/L47</f>
        <v>539.71389624917663</v>
      </c>
      <c r="M42" s="681">
        <f>M39/L48</f>
        <v>438.94005988346697</v>
      </c>
      <c r="N42" s="682">
        <f>N39/L49</f>
        <v>469.20492957122082</v>
      </c>
    </row>
    <row r="43" spans="1:16" x14ac:dyDescent="0.15">
      <c r="F43" s="308"/>
      <c r="H43" s="882" t="s">
        <v>315</v>
      </c>
      <c r="I43" s="883"/>
      <c r="J43" s="883"/>
      <c r="K43" s="416"/>
      <c r="L43" s="186">
        <f>$J39/L42</f>
        <v>0.67491707965061565</v>
      </c>
      <c r="M43" s="186">
        <f>$J39/M42</f>
        <v>0.82986758328701327</v>
      </c>
      <c r="N43" s="683">
        <f>$J39/N42</f>
        <v>0.77633908713667532</v>
      </c>
    </row>
    <row r="44" spans="1:16" ht="14" thickBot="1" x14ac:dyDescent="0.2">
      <c r="F44" s="308"/>
      <c r="H44" s="884" t="s">
        <v>314</v>
      </c>
      <c r="I44" s="885"/>
      <c r="J44" s="885"/>
      <c r="K44" s="460"/>
      <c r="L44" s="684">
        <f>L42/$J39</f>
        <v>1.4816634963774662</v>
      </c>
      <c r="M44" s="684">
        <f>M42/$J39</f>
        <v>1.2050115224878541</v>
      </c>
      <c r="N44" s="685">
        <f>N42/$J39</f>
        <v>1.2880969367241828</v>
      </c>
    </row>
    <row r="45" spans="1:16" ht="14" thickBot="1" x14ac:dyDescent="0.2">
      <c r="F45" s="308"/>
      <c r="H45" s="189"/>
      <c r="I45" s="189"/>
    </row>
    <row r="46" spans="1:16" x14ac:dyDescent="0.15">
      <c r="F46" s="308"/>
      <c r="H46" s="886" t="s">
        <v>304</v>
      </c>
      <c r="I46" s="887"/>
      <c r="J46" s="887"/>
      <c r="K46" s="62"/>
      <c r="L46" s="62" t="s">
        <v>1</v>
      </c>
      <c r="M46" s="888" t="s">
        <v>2</v>
      </c>
      <c r="N46" s="889"/>
      <c r="O46" s="889"/>
      <c r="P46" s="890"/>
    </row>
    <row r="47" spans="1:16" x14ac:dyDescent="0.15">
      <c r="F47" s="308"/>
      <c r="H47" s="882" t="s">
        <v>312</v>
      </c>
      <c r="I47" s="883"/>
      <c r="J47" s="883"/>
      <c r="K47" s="416"/>
      <c r="L47" s="60">
        <v>3.6999999999999998E-2</v>
      </c>
      <c r="M47" s="891" t="s">
        <v>1347</v>
      </c>
      <c r="N47" s="892"/>
      <c r="O47" s="892"/>
      <c r="P47" s="893"/>
    </row>
    <row r="48" spans="1:16" x14ac:dyDescent="0.15">
      <c r="F48" s="308"/>
      <c r="H48" s="882" t="s">
        <v>305</v>
      </c>
      <c r="I48" s="883"/>
      <c r="J48" s="883"/>
      <c r="K48" s="416"/>
      <c r="L48" s="60">
        <v>8.6199999999999999E-2</v>
      </c>
      <c r="M48" s="891" t="s">
        <v>1347</v>
      </c>
      <c r="N48" s="892"/>
      <c r="O48" s="892"/>
      <c r="P48" s="893"/>
    </row>
    <row r="49" spans="6:16" ht="14" thickBot="1" x14ac:dyDescent="0.2">
      <c r="F49" s="308"/>
      <c r="H49" s="884" t="s">
        <v>309</v>
      </c>
      <c r="I49" s="885"/>
      <c r="J49" s="885"/>
      <c r="K49" s="460"/>
      <c r="L49" s="61">
        <f>SUM(L47:L48)</f>
        <v>0.1232</v>
      </c>
      <c r="M49" s="894" t="s">
        <v>313</v>
      </c>
      <c r="N49" s="895"/>
      <c r="O49" s="895"/>
      <c r="P49" s="896"/>
    </row>
    <row r="51" spans="6:16" x14ac:dyDescent="0.15">
      <c r="L51" s="9"/>
      <c r="M51" s="9"/>
    </row>
    <row r="52" spans="6:16" x14ac:dyDescent="0.15">
      <c r="L52" s="9"/>
      <c r="M52" s="9"/>
    </row>
    <row r="53" spans="6:16" x14ac:dyDescent="0.15">
      <c r="L53" s="9"/>
      <c r="M53" s="9"/>
    </row>
    <row r="54" spans="6:16" x14ac:dyDescent="0.15">
      <c r="L54" s="9"/>
      <c r="M54" s="9"/>
    </row>
  </sheetData>
  <mergeCells count="12">
    <mergeCell ref="H48:J48"/>
    <mergeCell ref="H49:J49"/>
    <mergeCell ref="M46:P46"/>
    <mergeCell ref="M47:P47"/>
    <mergeCell ref="M48:P48"/>
    <mergeCell ref="M49:P49"/>
    <mergeCell ref="H47:J47"/>
    <mergeCell ref="H41:J41"/>
    <mergeCell ref="H42:J42"/>
    <mergeCell ref="H43:J43"/>
    <mergeCell ref="H44:J44"/>
    <mergeCell ref="H46:J4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D14" sqref="D14"/>
    </sheetView>
  </sheetViews>
  <sheetFormatPr baseColWidth="10" defaultColWidth="8.83203125" defaultRowHeight="13" x14ac:dyDescent="0.15"/>
  <cols>
    <col min="1" max="1" width="38.1640625" customWidth="1"/>
    <col min="2" max="2" width="14.6640625" style="308" customWidth="1"/>
    <col min="3" max="11" width="14.6640625" customWidth="1"/>
    <col min="12" max="12" width="128.83203125" customWidth="1"/>
    <col min="13" max="13" width="15.6640625" customWidth="1"/>
    <col min="14" max="14" width="82.6640625" customWidth="1"/>
    <col min="15" max="15" width="15.6640625" customWidth="1"/>
  </cols>
  <sheetData>
    <row r="1" spans="1:12" ht="14" thickBot="1" x14ac:dyDescent="0.2">
      <c r="A1" s="1" t="s">
        <v>1348</v>
      </c>
      <c r="B1" s="1"/>
      <c r="D1" s="308"/>
      <c r="F1" s="308"/>
      <c r="H1" s="308"/>
      <c r="J1" s="308"/>
      <c r="K1" s="189"/>
      <c r="L1" s="189"/>
    </row>
    <row r="2" spans="1:12" s="308" customFormat="1" x14ac:dyDescent="0.15">
      <c r="A2" s="897" t="s">
        <v>1350</v>
      </c>
      <c r="B2" s="898"/>
      <c r="C2" s="898"/>
      <c r="D2" s="898"/>
      <c r="E2" s="898"/>
      <c r="F2" s="898"/>
      <c r="G2" s="898"/>
      <c r="H2" s="898"/>
      <c r="I2" s="898"/>
      <c r="J2" s="898"/>
      <c r="K2" s="898"/>
      <c r="L2" s="899"/>
    </row>
    <row r="3" spans="1:12" s="308" customFormat="1" x14ac:dyDescent="0.15">
      <c r="A3" s="900"/>
      <c r="B3" s="901"/>
      <c r="C3" s="901"/>
      <c r="D3" s="901"/>
      <c r="E3" s="901"/>
      <c r="F3" s="901"/>
      <c r="G3" s="901"/>
      <c r="H3" s="901"/>
      <c r="I3" s="901"/>
      <c r="J3" s="901"/>
      <c r="K3" s="901"/>
      <c r="L3" s="902"/>
    </row>
    <row r="4" spans="1:12" s="308" customFormat="1" x14ac:dyDescent="0.15">
      <c r="A4" s="903"/>
      <c r="B4" s="904"/>
      <c r="C4" s="904"/>
      <c r="D4" s="904"/>
      <c r="E4" s="904"/>
      <c r="F4" s="904"/>
      <c r="G4" s="904"/>
      <c r="H4" s="904"/>
      <c r="I4" s="904"/>
      <c r="J4" s="904"/>
      <c r="K4" s="904"/>
      <c r="L4" s="905"/>
    </row>
    <row r="5" spans="1:12" s="308" customFormat="1" x14ac:dyDescent="0.15">
      <c r="A5" s="903"/>
      <c r="B5" s="904"/>
      <c r="C5" s="904"/>
      <c r="D5" s="904"/>
      <c r="E5" s="904"/>
      <c r="F5" s="904"/>
      <c r="G5" s="904"/>
      <c r="H5" s="904"/>
      <c r="I5" s="904"/>
      <c r="J5" s="904"/>
      <c r="K5" s="904"/>
      <c r="L5" s="905"/>
    </row>
    <row r="6" spans="1:12" s="308" customFormat="1" ht="14" thickBot="1" x14ac:dyDescent="0.2">
      <c r="A6" s="906"/>
      <c r="B6" s="907"/>
      <c r="C6" s="907"/>
      <c r="D6" s="907"/>
      <c r="E6" s="907"/>
      <c r="F6" s="907"/>
      <c r="G6" s="907"/>
      <c r="H6" s="907"/>
      <c r="I6" s="907"/>
      <c r="J6" s="907"/>
      <c r="K6" s="907"/>
      <c r="L6" s="908"/>
    </row>
    <row r="7" spans="1:12" x14ac:dyDescent="0.15">
      <c r="A7" s="15"/>
      <c r="B7" s="15"/>
      <c r="C7" s="98"/>
      <c r="D7" s="315"/>
      <c r="F7" s="308"/>
      <c r="H7" s="308"/>
      <c r="J7" s="308"/>
      <c r="K7" s="189"/>
      <c r="L7" s="189"/>
    </row>
    <row r="8" spans="1:12" ht="68" x14ac:dyDescent="0.15">
      <c r="A8" s="279" t="s">
        <v>1349</v>
      </c>
      <c r="B8" s="83" t="s">
        <v>1356</v>
      </c>
      <c r="C8" s="824" t="s">
        <v>1351</v>
      </c>
      <c r="D8" s="823" t="s">
        <v>1357</v>
      </c>
      <c r="E8" s="824" t="s">
        <v>1352</v>
      </c>
      <c r="F8" s="823" t="s">
        <v>1358</v>
      </c>
      <c r="G8" s="824" t="s">
        <v>1353</v>
      </c>
      <c r="H8" s="823" t="s">
        <v>1354</v>
      </c>
      <c r="I8" s="824" t="s">
        <v>1355</v>
      </c>
      <c r="J8" s="30" t="s">
        <v>262</v>
      </c>
      <c r="K8" s="30" t="s">
        <v>263</v>
      </c>
      <c r="L8" s="83" t="s">
        <v>658</v>
      </c>
    </row>
    <row r="9" spans="1:12" x14ac:dyDescent="0.15">
      <c r="B9"/>
      <c r="C9" s="146"/>
      <c r="E9" s="146"/>
      <c r="G9" s="146"/>
      <c r="I9" s="146"/>
      <c r="J9" s="147"/>
      <c r="K9" s="147"/>
    </row>
    <row r="10" spans="1:12" x14ac:dyDescent="0.15">
      <c r="A10" s="15" t="s">
        <v>404</v>
      </c>
      <c r="B10" s="305">
        <f>0.7*'Food preferences'!H203</f>
        <v>0.7</v>
      </c>
      <c r="C10" s="825">
        <f>B10/$B$19</f>
        <v>0.84235860409145602</v>
      </c>
      <c r="D10" s="305">
        <f>0.4*'Food preferences'!H209</f>
        <v>0.4</v>
      </c>
      <c r="E10" s="825">
        <f>D10/$D$19</f>
        <v>0.5714285714285714</v>
      </c>
      <c r="F10" s="305">
        <f>0.943*'Food preferences'!H191</f>
        <v>0.94299999999999995</v>
      </c>
      <c r="G10" s="825">
        <f>F10/$F$19</f>
        <v>1</v>
      </c>
      <c r="H10" s="305">
        <f>0.8495*'Food preferences'!H197</f>
        <v>0.84950000000000003</v>
      </c>
      <c r="I10" s="825">
        <f>H10/$H$19</f>
        <v>1</v>
      </c>
      <c r="J10" s="190">
        <v>0.17799999999999999</v>
      </c>
      <c r="K10" s="190">
        <f>1/J10</f>
        <v>5.617977528089888</v>
      </c>
      <c r="L10" s="81" t="s">
        <v>1367</v>
      </c>
    </row>
    <row r="11" spans="1:12" x14ac:dyDescent="0.15">
      <c r="A11" s="15" t="s">
        <v>622</v>
      </c>
      <c r="B11" s="305">
        <f>0.034*'Food preferences'!H204</f>
        <v>0</v>
      </c>
      <c r="C11" s="825">
        <f>B11/$B$19</f>
        <v>0</v>
      </c>
      <c r="D11" s="305">
        <f>(1-$D$10)/4*'Food preferences'!H210</f>
        <v>0</v>
      </c>
      <c r="E11" s="825">
        <f>D11/$D$19</f>
        <v>0</v>
      </c>
      <c r="F11" s="305" t="s">
        <v>1361</v>
      </c>
      <c r="G11" s="825" t="s">
        <v>1361</v>
      </c>
      <c r="H11" s="305">
        <f>0.025812*'Food preferences'!H198</f>
        <v>0</v>
      </c>
      <c r="I11" s="825">
        <f>H11/$H$19</f>
        <v>0</v>
      </c>
      <c r="J11" s="189">
        <f>0.167*0.9</f>
        <v>0.15030000000000002</v>
      </c>
      <c r="K11" s="190">
        <f>1/J11</f>
        <v>6.6533599467731195</v>
      </c>
      <c r="L11" s="81" t="s">
        <v>1370</v>
      </c>
    </row>
    <row r="12" spans="1:12" x14ac:dyDescent="0.15">
      <c r="A12" s="15" t="s">
        <v>402</v>
      </c>
      <c r="B12" s="305">
        <f>0.127*'Food preferences'!H205</f>
        <v>0</v>
      </c>
      <c r="C12" s="825">
        <f>B12/$B$19</f>
        <v>0</v>
      </c>
      <c r="D12" s="305">
        <f>(1-$D$10)/4*'Food preferences'!H211</f>
        <v>0</v>
      </c>
      <c r="E12" s="825">
        <f>D12/$D$19</f>
        <v>0</v>
      </c>
      <c r="F12" s="305">
        <f>0.04736*'Food preferences'!H192</f>
        <v>0</v>
      </c>
      <c r="G12" s="825">
        <f>F12/$F$19</f>
        <v>0</v>
      </c>
      <c r="H12" s="305">
        <f>0.02701*'Food preferences'!H199</f>
        <v>0</v>
      </c>
      <c r="I12" s="825">
        <f>H12/$H$19</f>
        <v>0</v>
      </c>
      <c r="J12" s="190">
        <f>1/K12</f>
        <v>2.8571428571428571E-2</v>
      </c>
      <c r="K12" s="190">
        <v>35</v>
      </c>
      <c r="L12" s="81" t="s">
        <v>1368</v>
      </c>
    </row>
    <row r="13" spans="1:12" x14ac:dyDescent="0.15">
      <c r="A13" s="15" t="s">
        <v>405</v>
      </c>
      <c r="B13" s="305" t="s">
        <v>1361</v>
      </c>
      <c r="C13" s="825" t="s">
        <v>1361</v>
      </c>
      <c r="D13" s="305">
        <f>(1-$D$10)/4*'Food preferences'!H212</f>
        <v>0.15</v>
      </c>
      <c r="E13" s="825">
        <f>D13/$D$19</f>
        <v>0.21428571428571425</v>
      </c>
      <c r="F13" s="305" t="s">
        <v>1363</v>
      </c>
      <c r="G13" s="825" t="s">
        <v>1363</v>
      </c>
      <c r="H13" s="305" t="s">
        <v>1363</v>
      </c>
      <c r="I13" s="825" t="s">
        <v>1363</v>
      </c>
      <c r="J13" s="190">
        <f>0.31*0.92</f>
        <v>0.28520000000000001</v>
      </c>
      <c r="K13" s="190">
        <f>1/J13</f>
        <v>3.5063113604488079</v>
      </c>
      <c r="L13" s="81" t="s">
        <v>1369</v>
      </c>
    </row>
    <row r="14" spans="1:12" x14ac:dyDescent="0.15">
      <c r="A14" s="15" t="s">
        <v>623</v>
      </c>
      <c r="B14" s="305">
        <f>0.087*'Food preferences'!H206</f>
        <v>8.6999999999999994E-2</v>
      </c>
      <c r="C14" s="825">
        <f>B14/$B$19</f>
        <v>0.10469314079422383</v>
      </c>
      <c r="D14" s="305">
        <f>(1-$D$10)/4*'Food preferences'!H213</f>
        <v>0.15</v>
      </c>
      <c r="E14" s="825">
        <f>D14/$D$19</f>
        <v>0.21428571428571425</v>
      </c>
      <c r="F14" s="305" t="s">
        <v>1363</v>
      </c>
      <c r="G14" s="825" t="s">
        <v>1363</v>
      </c>
      <c r="H14" s="305" t="s">
        <v>1363</v>
      </c>
      <c r="I14" s="825" t="s">
        <v>1363</v>
      </c>
      <c r="J14" s="190">
        <f>0.96*0.42</f>
        <v>0.40319999999999995</v>
      </c>
      <c r="K14" s="190">
        <f>1/J14</f>
        <v>2.4801587301587307</v>
      </c>
      <c r="L14" s="277" t="s">
        <v>1373</v>
      </c>
    </row>
    <row r="15" spans="1:12" x14ac:dyDescent="0.15">
      <c r="A15" s="15" t="s">
        <v>403</v>
      </c>
      <c r="B15" s="305">
        <f>0.044*'Food preferences'!H207</f>
        <v>4.3999999999999997E-2</v>
      </c>
      <c r="C15" s="825">
        <f>B15/$B$19</f>
        <v>5.2948255114320095E-2</v>
      </c>
      <c r="D15" s="305" t="s">
        <v>1363</v>
      </c>
      <c r="E15" s="825" t="s">
        <v>1363</v>
      </c>
      <c r="F15" s="305" t="s">
        <v>1363</v>
      </c>
      <c r="G15" s="825" t="s">
        <v>1363</v>
      </c>
      <c r="H15" s="305" t="s">
        <v>1363</v>
      </c>
      <c r="I15" s="825" t="s">
        <v>1363</v>
      </c>
      <c r="J15" s="190">
        <f>40*7.6/2000</f>
        <v>0.152</v>
      </c>
      <c r="K15" s="190">
        <f>1/J15</f>
        <v>6.5789473684210531</v>
      </c>
      <c r="L15" s="51" t="s">
        <v>1378</v>
      </c>
    </row>
    <row r="16" spans="1:12" x14ac:dyDescent="0.15">
      <c r="A16" s="15" t="s">
        <v>648</v>
      </c>
      <c r="B16" s="305" t="s">
        <v>1363</v>
      </c>
      <c r="C16" s="825" t="s">
        <v>1363</v>
      </c>
      <c r="D16" s="305" t="s">
        <v>1363</v>
      </c>
      <c r="E16" s="825" t="s">
        <v>1363</v>
      </c>
      <c r="F16" s="305">
        <f>0.009472*'Food preferences'!H193</f>
        <v>0</v>
      </c>
      <c r="G16" s="825">
        <f>F16/$F$19</f>
        <v>0</v>
      </c>
      <c r="H16" s="305" t="s">
        <v>1363</v>
      </c>
      <c r="I16" s="825" t="s">
        <v>1363</v>
      </c>
      <c r="J16" s="190">
        <f>AVERAGE('Processing conversions'!G199:G200)</f>
        <v>8.2077999999999998E-2</v>
      </c>
      <c r="K16" s="190">
        <f>AVERAGE('Processing conversions'!H199:H200)</f>
        <v>13.438024116994864</v>
      </c>
      <c r="L16" s="51" t="s">
        <v>649</v>
      </c>
    </row>
    <row r="17" spans="1:14" x14ac:dyDescent="0.15">
      <c r="A17" s="15" t="s">
        <v>651</v>
      </c>
      <c r="B17" s="305" t="s">
        <v>1363</v>
      </c>
      <c r="C17" s="825" t="s">
        <v>1363</v>
      </c>
      <c r="D17" s="305" t="s">
        <v>1363</v>
      </c>
      <c r="E17" s="825" t="s">
        <v>1363</v>
      </c>
      <c r="F17" s="305" t="s">
        <v>1363</v>
      </c>
      <c r="G17" s="825" t="s">
        <v>1363</v>
      </c>
      <c r="H17" s="305">
        <f>0.040389*'Food preferences'!H200</f>
        <v>0</v>
      </c>
      <c r="I17" s="825">
        <f>H17/$H$19</f>
        <v>0</v>
      </c>
      <c r="J17" s="190">
        <f>'Processing conversions'!G199</f>
        <v>5.7000000000000002E-2</v>
      </c>
      <c r="K17" s="190">
        <f>1/J17</f>
        <v>17.543859649122805</v>
      </c>
      <c r="L17" s="51" t="s">
        <v>1371</v>
      </c>
    </row>
    <row r="18" spans="1:14" x14ac:dyDescent="0.15">
      <c r="A18" s="15" t="s">
        <v>652</v>
      </c>
      <c r="B18" s="305" t="s">
        <v>1363</v>
      </c>
      <c r="C18" s="825" t="s">
        <v>1363</v>
      </c>
      <c r="D18" s="305" t="s">
        <v>1363</v>
      </c>
      <c r="E18" s="825" t="s">
        <v>1363</v>
      </c>
      <c r="F18" s="305" t="s">
        <v>1363</v>
      </c>
      <c r="G18" s="825" t="s">
        <v>1363</v>
      </c>
      <c r="H18" s="305">
        <f>0.057304*'Food preferences'!H201</f>
        <v>0</v>
      </c>
      <c r="I18" s="825">
        <f>H18/$H$19</f>
        <v>0</v>
      </c>
      <c r="J18" s="190">
        <f>'Processing conversions'!G200</f>
        <v>0.10715599999999999</v>
      </c>
      <c r="K18" s="190">
        <f>1/J18</f>
        <v>9.3321885848669233</v>
      </c>
      <c r="L18" s="51" t="s">
        <v>1372</v>
      </c>
    </row>
    <row r="19" spans="1:14" x14ac:dyDescent="0.15">
      <c r="A19" s="89" t="s">
        <v>1359</v>
      </c>
      <c r="B19" s="826">
        <f t="shared" ref="B19:I19" si="0">SUM(B10:B18)</f>
        <v>0.83099999999999996</v>
      </c>
      <c r="C19" s="827">
        <f t="shared" si="0"/>
        <v>1</v>
      </c>
      <c r="D19" s="826">
        <f t="shared" si="0"/>
        <v>0.70000000000000007</v>
      </c>
      <c r="E19" s="827">
        <f t="shared" si="0"/>
        <v>0.99999999999999978</v>
      </c>
      <c r="F19" s="826">
        <f t="shared" si="0"/>
        <v>0.94299999999999995</v>
      </c>
      <c r="G19" s="827">
        <f t="shared" si="0"/>
        <v>1</v>
      </c>
      <c r="H19" s="826">
        <f t="shared" si="0"/>
        <v>0.84950000000000003</v>
      </c>
      <c r="I19" s="827">
        <f t="shared" si="0"/>
        <v>1</v>
      </c>
      <c r="J19" s="828"/>
      <c r="K19" s="828"/>
      <c r="L19" s="829"/>
    </row>
    <row r="20" spans="1:14" s="308" customFormat="1" x14ac:dyDescent="0.15">
      <c r="A20" s="15"/>
      <c r="B20" s="305"/>
      <c r="C20" s="305"/>
      <c r="D20" s="305"/>
      <c r="E20" s="305"/>
      <c r="F20" s="305"/>
      <c r="G20" s="305"/>
      <c r="H20" s="305"/>
      <c r="I20" s="305"/>
      <c r="J20" s="190"/>
      <c r="K20" s="190"/>
      <c r="L20" s="314"/>
      <c r="M20" s="316"/>
      <c r="N20" s="316"/>
    </row>
    <row r="21" spans="1:14" s="308" customFormat="1" x14ac:dyDescent="0.15">
      <c r="A21" s="15" t="s">
        <v>1360</v>
      </c>
      <c r="B21" s="305"/>
      <c r="C21" s="305"/>
      <c r="D21" s="305"/>
      <c r="E21" s="305"/>
      <c r="F21" s="305"/>
      <c r="G21" s="305"/>
      <c r="H21" s="305"/>
      <c r="I21" s="305"/>
      <c r="J21" s="190"/>
      <c r="K21" s="190"/>
      <c r="L21" s="314"/>
      <c r="M21" s="316"/>
      <c r="N21" s="316"/>
    </row>
    <row r="22" spans="1:14" x14ac:dyDescent="0.15">
      <c r="A22" s="15" t="s">
        <v>1362</v>
      </c>
      <c r="C22" s="189"/>
      <c r="D22" s="316"/>
      <c r="E22" s="189"/>
      <c r="F22" s="316"/>
      <c r="H22" s="308"/>
      <c r="J22" s="308"/>
      <c r="L22" s="3"/>
      <c r="M22" s="189"/>
    </row>
    <row r="23" spans="1:14" x14ac:dyDescent="0.15">
      <c r="B23" s="539"/>
    </row>
    <row r="24" spans="1:14" x14ac:dyDescent="0.15">
      <c r="A24" s="15" t="s">
        <v>1364</v>
      </c>
    </row>
    <row r="25" spans="1:14" x14ac:dyDescent="0.15">
      <c r="A25" s="15" t="s">
        <v>1377</v>
      </c>
    </row>
    <row r="26" spans="1:14" x14ac:dyDescent="0.15">
      <c r="A26" s="15" t="s">
        <v>1366</v>
      </c>
    </row>
    <row r="27" spans="1:14" x14ac:dyDescent="0.15">
      <c r="A27" s="15" t="s">
        <v>1365</v>
      </c>
    </row>
  </sheetData>
  <mergeCells count="1">
    <mergeCell ref="A2:L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README</vt:lpstr>
      <vt:lpstr>Users diet</vt:lpstr>
      <vt:lpstr>Dietary recommendations</vt:lpstr>
      <vt:lpstr>Food preferences</vt:lpstr>
      <vt:lpstr>Nutrient composition</vt:lpstr>
      <vt:lpstr>Losses and waste</vt:lpstr>
      <vt:lpstr>Processing conversions</vt:lpstr>
      <vt:lpstr>Dairy processing conversions</vt:lpstr>
      <vt:lpstr>Fats and oils</vt:lpstr>
      <vt:lpstr>Livestock feed requirements</vt:lpstr>
      <vt:lpstr>Food requirements</vt:lpstr>
      <vt:lpstr>Crop and grazing yields</vt:lpstr>
      <vt:lpstr>Land requirements</vt:lpstr>
      <vt:lpstr>Multiuse crop adjustment</vt:lpstr>
      <vt:lpstr>Grazing land adjustment</vt:lpstr>
      <vt:lpstr>Land availability</vt:lpstr>
    </vt:vector>
  </TitlesOfParts>
  <Company>USDA-ARS-NEPSWL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Peters, Jamie Picardy, Mia Fischer</dc:creator>
  <cp:lastModifiedBy>Microsoft Office User</cp:lastModifiedBy>
  <cp:lastPrinted>2013-11-13T01:51:05Z</cp:lastPrinted>
  <dcterms:created xsi:type="dcterms:W3CDTF">2010-01-08T17:40:12Z</dcterms:created>
  <dcterms:modified xsi:type="dcterms:W3CDTF">2016-06-28T02:31:50Z</dcterms:modified>
</cp:coreProperties>
</file>