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moehlen/Desktop/Work/Elementa/RevisionMay2018/Final Files/"/>
    </mc:Choice>
  </mc:AlternateContent>
  <xr:revisionPtr revIDLastSave="0" documentId="10_ncr:8100000_{B7411065-A081-EA44-BDF3-C8ADFF1FD90E}" xr6:coauthVersionLast="33" xr6:coauthVersionMax="33" xr10:uidLastSave="{00000000-0000-0000-0000-000000000000}"/>
  <bookViews>
    <workbookView xWindow="0" yWindow="460" windowWidth="25600" windowHeight="14520" activeTab="1" xr2:uid="{00000000-000D-0000-FFFF-FFFF00000000}"/>
  </bookViews>
  <sheets>
    <sheet name="Product info&amp;plastic %" sheetId="27" r:id="rId1"/>
    <sheet name="Buoyancy behavior" sheetId="42" r:id="rId2"/>
    <sheet name="Size distribution (Nivea)" sheetId="6" r:id="rId3"/>
    <sheet name="Size distribution (Neutrogena) " sheetId="25" r:id="rId4"/>
    <sheet name="Size distribution (Clearasil)" sheetId="8" r:id="rId5"/>
    <sheet name="Size distribution (Garnier)" sheetId="26" r:id="rId6"/>
    <sheet name="Size distribution (Neutrogena)" sheetId="41" r:id="rId7"/>
    <sheet name="Size distribution (Essence)" sheetId="39" r:id="rId8"/>
    <sheet name="Experimental set-ups" sheetId="11" r:id="rId9"/>
    <sheet name="Aggregate size set-up1" sheetId="14" r:id="rId10"/>
    <sheet name="Aggregate size set-up 2" sheetId="10" r:id="rId11"/>
    <sheet name="Aggregate size set-up 3" sheetId="12" r:id="rId12"/>
    <sheet name="Aggregate size set-up 4" sheetId="13" r:id="rId13"/>
    <sheet name="Aggregate size pure algae" sheetId="18" r:id="rId14"/>
    <sheet name="Turbidity set-up 1" sheetId="2" r:id="rId15"/>
    <sheet name="Turbidity set-up 2" sheetId="9" r:id="rId16"/>
    <sheet name="Turbidity set-up 3" sheetId="15" r:id="rId17"/>
    <sheet name="Turbidity set-up 4" sheetId="16" r:id="rId18"/>
    <sheet name="Settling velocity algae" sheetId="20" r:id="rId19"/>
    <sheet name="Settling velocity set-up 3" sheetId="21" r:id="rId20"/>
    <sheet name="Settling velocity set-up 4" sheetId="22" r:id="rId21"/>
    <sheet name="Summary settling velocity" sheetId="19" r:id="rId22"/>
    <sheet name="Resuspension behaviour" sheetId="36" r:id="rId2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36" l="1"/>
  <c r="D9" i="36"/>
  <c r="D6" i="36"/>
  <c r="F12" i="36"/>
  <c r="F9" i="36"/>
  <c r="F6" i="36"/>
  <c r="D55" i="20"/>
  <c r="D56" i="20"/>
  <c r="C56" i="20"/>
  <c r="C58" i="19"/>
  <c r="C57" i="19"/>
  <c r="D57" i="19"/>
  <c r="E57" i="19"/>
  <c r="F57" i="19"/>
  <c r="G57" i="19"/>
  <c r="B57" i="19"/>
  <c r="C56" i="22"/>
  <c r="C55" i="22"/>
  <c r="N13" i="2"/>
  <c r="N15" i="2" s="1"/>
  <c r="N16" i="2" s="1"/>
  <c r="N5" i="2"/>
  <c r="I13" i="2"/>
  <c r="I15" i="2" s="1"/>
  <c r="I16" i="2" s="1"/>
  <c r="I5" i="2"/>
  <c r="D13" i="2"/>
  <c r="D15" i="2" s="1"/>
  <c r="D16" i="2" s="1"/>
  <c r="D5" i="2"/>
  <c r="Q5" i="13"/>
  <c r="P8" i="12"/>
  <c r="C57" i="18"/>
  <c r="L58" i="13"/>
  <c r="G58" i="13"/>
  <c r="C58" i="13"/>
  <c r="K60" i="12"/>
  <c r="F60" i="12"/>
  <c r="B60" i="12"/>
  <c r="M57" i="10"/>
  <c r="N57" i="10"/>
  <c r="H57" i="10"/>
  <c r="B57" i="10"/>
  <c r="N60" i="14"/>
  <c r="I60" i="14"/>
  <c r="D60" i="14"/>
  <c r="M36" i="11"/>
  <c r="L36" i="11"/>
  <c r="M32" i="11"/>
  <c r="L32" i="11"/>
  <c r="M26" i="11"/>
  <c r="M27" i="11"/>
  <c r="L24" i="11"/>
  <c r="M24" i="11" s="1"/>
  <c r="L25" i="11"/>
  <c r="M25" i="11" s="1"/>
  <c r="L26" i="11"/>
  <c r="L27" i="11"/>
  <c r="L28" i="11"/>
  <c r="M28" i="11" s="1"/>
  <c r="L23" i="11"/>
  <c r="M23" i="11" s="1"/>
  <c r="G11" i="11"/>
  <c r="G12" i="11" s="1"/>
  <c r="G13" i="11" s="1"/>
  <c r="F163" i="39"/>
  <c r="D163" i="39"/>
  <c r="F166" i="41"/>
  <c r="D166" i="41"/>
  <c r="E164" i="26"/>
  <c r="F164" i="26"/>
  <c r="G164" i="26"/>
  <c r="D164" i="26"/>
  <c r="E160" i="8"/>
  <c r="G160" i="8"/>
  <c r="G159" i="25"/>
  <c r="H159" i="25"/>
  <c r="F159" i="25"/>
  <c r="E159" i="25"/>
  <c r="D162" i="6"/>
  <c r="F162" i="6"/>
  <c r="A3" i="6"/>
  <c r="B4" i="6" s="1"/>
  <c r="G7" i="6"/>
  <c r="G12" i="6"/>
  <c r="G15" i="6"/>
  <c r="G20" i="6"/>
  <c r="G21" i="6"/>
  <c r="G24" i="6"/>
  <c r="G25" i="6"/>
  <c r="G28" i="6"/>
  <c r="G29" i="6"/>
  <c r="G32" i="6"/>
  <c r="G33" i="6"/>
  <c r="G36" i="6"/>
  <c r="G37" i="6"/>
  <c r="G40" i="6"/>
  <c r="G41" i="6"/>
  <c r="G44" i="6"/>
  <c r="G45" i="6"/>
  <c r="G48" i="6"/>
  <c r="G49" i="6"/>
  <c r="G52" i="6"/>
  <c r="G53" i="6"/>
  <c r="G56" i="6"/>
  <c r="G57" i="6"/>
  <c r="G60" i="6"/>
  <c r="G61" i="6"/>
  <c r="G64" i="6"/>
  <c r="G65" i="6"/>
  <c r="G68" i="6"/>
  <c r="G69" i="6"/>
  <c r="G72" i="6"/>
  <c r="G73" i="6"/>
  <c r="G76" i="6"/>
  <c r="G77" i="6"/>
  <c r="G80" i="6"/>
  <c r="G81" i="6"/>
  <c r="G84" i="6"/>
  <c r="G85" i="6"/>
  <c r="G88" i="6"/>
  <c r="G89" i="6"/>
  <c r="G92" i="6"/>
  <c r="G93" i="6"/>
  <c r="G96" i="6"/>
  <c r="G97" i="6"/>
  <c r="G100" i="6"/>
  <c r="G101" i="6"/>
  <c r="G104" i="6"/>
  <c r="G105" i="6"/>
  <c r="G108" i="6"/>
  <c r="G109" i="6"/>
  <c r="G112" i="6"/>
  <c r="G113" i="6"/>
  <c r="G116" i="6"/>
  <c r="G117" i="6"/>
  <c r="G120" i="6"/>
  <c r="G121" i="6"/>
  <c r="G124" i="6"/>
  <c r="G125" i="6"/>
  <c r="G128" i="6"/>
  <c r="G129" i="6"/>
  <c r="G132" i="6"/>
  <c r="G133" i="6"/>
  <c r="G136" i="6"/>
  <c r="G137" i="6"/>
  <c r="G140" i="6"/>
  <c r="G141" i="6"/>
  <c r="G144" i="6"/>
  <c r="G145" i="6"/>
  <c r="G148" i="6"/>
  <c r="G149" i="6"/>
  <c r="G152" i="6"/>
  <c r="G153" i="6"/>
  <c r="G156" i="6"/>
  <c r="E9" i="6"/>
  <c r="E10" i="6"/>
  <c r="E13" i="6"/>
  <c r="E14" i="6"/>
  <c r="E17" i="6"/>
  <c r="E18" i="6"/>
  <c r="E21" i="6"/>
  <c r="E22" i="6"/>
  <c r="E25" i="6"/>
  <c r="E26" i="6"/>
  <c r="E29" i="6"/>
  <c r="E30" i="6"/>
  <c r="E33" i="6"/>
  <c r="E34" i="6"/>
  <c r="E37" i="6"/>
  <c r="E38" i="6"/>
  <c r="E41" i="6"/>
  <c r="E42" i="6"/>
  <c r="E45" i="6"/>
  <c r="E46" i="6"/>
  <c r="E49" i="6"/>
  <c r="E50" i="6"/>
  <c r="E53" i="6"/>
  <c r="E54" i="6"/>
  <c r="E57" i="6"/>
  <c r="E58" i="6"/>
  <c r="E61" i="6"/>
  <c r="E62" i="6"/>
  <c r="E65" i="6"/>
  <c r="E66" i="6"/>
  <c r="E69" i="6"/>
  <c r="E70" i="6"/>
  <c r="E73" i="6"/>
  <c r="E74" i="6"/>
  <c r="E77" i="6"/>
  <c r="E78" i="6"/>
  <c r="E81" i="6"/>
  <c r="E82" i="6"/>
  <c r="E85" i="6"/>
  <c r="E86" i="6"/>
  <c r="E89" i="6"/>
  <c r="E90" i="6"/>
  <c r="E93" i="6"/>
  <c r="E94" i="6"/>
  <c r="E97" i="6"/>
  <c r="E98" i="6"/>
  <c r="E101" i="6"/>
  <c r="E102" i="6"/>
  <c r="E105" i="6"/>
  <c r="E106" i="6"/>
  <c r="E109" i="6"/>
  <c r="E110" i="6"/>
  <c r="E113" i="6"/>
  <c r="E114" i="6"/>
  <c r="E117" i="6"/>
  <c r="E118" i="6"/>
  <c r="E121" i="6"/>
  <c r="E122" i="6"/>
  <c r="E125" i="6"/>
  <c r="E126" i="6"/>
  <c r="E129" i="6"/>
  <c r="E130" i="6"/>
  <c r="E133" i="6"/>
  <c r="E134" i="6"/>
  <c r="E137" i="6"/>
  <c r="E138" i="6"/>
  <c r="E141" i="6"/>
  <c r="E142" i="6"/>
  <c r="E145" i="6"/>
  <c r="E146" i="6"/>
  <c r="E149" i="6"/>
  <c r="E150" i="6"/>
  <c r="E153" i="6"/>
  <c r="E154" i="6"/>
  <c r="I10" i="27"/>
  <c r="I9" i="27"/>
  <c r="I8" i="27"/>
  <c r="I7" i="27"/>
  <c r="I6" i="27"/>
  <c r="I5" i="27"/>
  <c r="D58" i="19"/>
  <c r="E58" i="19"/>
  <c r="F58" i="19"/>
  <c r="G58" i="19"/>
  <c r="B58" i="19"/>
  <c r="C56" i="19"/>
  <c r="D56" i="19"/>
  <c r="E56" i="19"/>
  <c r="F56" i="19"/>
  <c r="G56" i="19"/>
  <c r="B56" i="19"/>
  <c r="C55" i="19"/>
  <c r="D55" i="19"/>
  <c r="E55" i="19"/>
  <c r="F55" i="19"/>
  <c r="G55" i="19"/>
  <c r="B55" i="19"/>
  <c r="C54" i="19"/>
  <c r="D54" i="19"/>
  <c r="E54" i="19"/>
  <c r="F54" i="19"/>
  <c r="G54" i="19"/>
  <c r="B54" i="19"/>
  <c r="C55" i="20"/>
  <c r="M16" i="11"/>
  <c r="M17" i="11"/>
  <c r="L16" i="11"/>
  <c r="L17" i="11"/>
  <c r="L18" i="11"/>
  <c r="M18" i="11" s="1"/>
  <c r="K14" i="11"/>
  <c r="L14" i="11"/>
  <c r="M14" i="11"/>
  <c r="K13" i="11"/>
  <c r="L13" i="11"/>
  <c r="M13" i="11"/>
  <c r="L15" i="11"/>
  <c r="M15" i="11" s="1"/>
  <c r="F162" i="41"/>
  <c r="F163" i="41"/>
  <c r="D162" i="41"/>
  <c r="D163" i="41"/>
  <c r="B4" i="41"/>
  <c r="G21" i="41" s="1"/>
  <c r="E155" i="39"/>
  <c r="E133" i="39"/>
  <c r="F159" i="39"/>
  <c r="D159" i="39"/>
  <c r="F160" i="39"/>
  <c r="D160" i="39"/>
  <c r="F161" i="39"/>
  <c r="D161" i="39"/>
  <c r="F162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E103" i="39"/>
  <c r="E104" i="39"/>
  <c r="E105" i="39"/>
  <c r="E106" i="39"/>
  <c r="E107" i="39"/>
  <c r="E108" i="39"/>
  <c r="E109" i="39"/>
  <c r="E110" i="39"/>
  <c r="E111" i="39"/>
  <c r="E112" i="39"/>
  <c r="E113" i="39"/>
  <c r="E114" i="39"/>
  <c r="E115" i="39"/>
  <c r="E116" i="39"/>
  <c r="E117" i="39"/>
  <c r="E118" i="39"/>
  <c r="E119" i="39"/>
  <c r="E120" i="39"/>
  <c r="E121" i="39"/>
  <c r="E122" i="39"/>
  <c r="E123" i="39"/>
  <c r="E124" i="39"/>
  <c r="E125" i="39"/>
  <c r="E126" i="39"/>
  <c r="E127" i="39"/>
  <c r="E128" i="39"/>
  <c r="E129" i="39"/>
  <c r="E130" i="39"/>
  <c r="E131" i="39"/>
  <c r="E132" i="39"/>
  <c r="E134" i="39"/>
  <c r="E135" i="39"/>
  <c r="E136" i="39"/>
  <c r="E137" i="39"/>
  <c r="E138" i="39"/>
  <c r="E139" i="39"/>
  <c r="E140" i="39"/>
  <c r="E141" i="39"/>
  <c r="E142" i="39"/>
  <c r="E143" i="39"/>
  <c r="E144" i="39"/>
  <c r="E145" i="39"/>
  <c r="E146" i="39"/>
  <c r="E147" i="39"/>
  <c r="E148" i="39"/>
  <c r="E149" i="39"/>
  <c r="E150" i="39"/>
  <c r="E151" i="39"/>
  <c r="E152" i="39"/>
  <c r="E153" i="39"/>
  <c r="E154" i="39"/>
  <c r="E156" i="39"/>
  <c r="E157" i="39"/>
  <c r="E8" i="39"/>
  <c r="B4" i="39"/>
  <c r="G39" i="39" s="1"/>
  <c r="D162" i="39"/>
  <c r="C56" i="18"/>
  <c r="C55" i="18"/>
  <c r="C54" i="18"/>
  <c r="G57" i="13"/>
  <c r="L57" i="13"/>
  <c r="C57" i="13"/>
  <c r="G56" i="13"/>
  <c r="L56" i="13"/>
  <c r="C56" i="13"/>
  <c r="G55" i="13"/>
  <c r="L55" i="13"/>
  <c r="C55" i="13"/>
  <c r="F59" i="12"/>
  <c r="K59" i="12"/>
  <c r="B59" i="12"/>
  <c r="F58" i="12"/>
  <c r="K58" i="12"/>
  <c r="B58" i="12"/>
  <c r="K57" i="12"/>
  <c r="F57" i="12"/>
  <c r="B57" i="12"/>
  <c r="G56" i="10"/>
  <c r="H56" i="10"/>
  <c r="M56" i="10"/>
  <c r="N56" i="10"/>
  <c r="G55" i="10"/>
  <c r="H55" i="10"/>
  <c r="M55" i="10"/>
  <c r="N55" i="10"/>
  <c r="B55" i="10"/>
  <c r="B56" i="10"/>
  <c r="G54" i="10"/>
  <c r="H54" i="10"/>
  <c r="M54" i="10"/>
  <c r="N54" i="10"/>
  <c r="B54" i="10"/>
  <c r="S6" i="10"/>
  <c r="I59" i="14"/>
  <c r="N59" i="14"/>
  <c r="D59" i="14"/>
  <c r="I58" i="14"/>
  <c r="N58" i="14"/>
  <c r="D58" i="14"/>
  <c r="I57" i="14"/>
  <c r="N57" i="14"/>
  <c r="D57" i="14"/>
  <c r="F4" i="16"/>
  <c r="G4" i="16"/>
  <c r="K4" i="16"/>
  <c r="L4" i="16"/>
  <c r="P4" i="16"/>
  <c r="Q4" i="16"/>
  <c r="U4" i="16"/>
  <c r="V4" i="16"/>
  <c r="F5" i="16"/>
  <c r="G5" i="16"/>
  <c r="K5" i="16"/>
  <c r="L5" i="16"/>
  <c r="P5" i="16"/>
  <c r="Q5" i="16"/>
  <c r="U5" i="16"/>
  <c r="V5" i="16"/>
  <c r="F6" i="16"/>
  <c r="G6" i="16"/>
  <c r="K6" i="16"/>
  <c r="L6" i="16"/>
  <c r="P6" i="16"/>
  <c r="Q6" i="16"/>
  <c r="U6" i="16"/>
  <c r="V6" i="16"/>
  <c r="F7" i="16"/>
  <c r="G7" i="16"/>
  <c r="K7" i="16"/>
  <c r="L7" i="16"/>
  <c r="P7" i="16"/>
  <c r="Q7" i="16"/>
  <c r="U7" i="16"/>
  <c r="V7" i="16"/>
  <c r="F8" i="16"/>
  <c r="G8" i="16"/>
  <c r="K8" i="16"/>
  <c r="L8" i="16"/>
  <c r="P8" i="16"/>
  <c r="Q8" i="16"/>
  <c r="U8" i="16"/>
  <c r="V8" i="16"/>
  <c r="F9" i="16"/>
  <c r="G9" i="16"/>
  <c r="K9" i="16"/>
  <c r="L9" i="16"/>
  <c r="P9" i="16"/>
  <c r="Q9" i="16"/>
  <c r="U9" i="16"/>
  <c r="V9" i="16"/>
  <c r="F10" i="16"/>
  <c r="G10" i="16"/>
  <c r="K10" i="16"/>
  <c r="L10" i="16"/>
  <c r="P10" i="16"/>
  <c r="Q10" i="16"/>
  <c r="U10" i="16"/>
  <c r="V10" i="16"/>
  <c r="F11" i="16"/>
  <c r="G11" i="16"/>
  <c r="K11" i="16"/>
  <c r="L11" i="16"/>
  <c r="P11" i="16"/>
  <c r="Q11" i="16"/>
  <c r="U11" i="16"/>
  <c r="V11" i="16"/>
  <c r="F12" i="16"/>
  <c r="F14" i="16" s="1"/>
  <c r="F15" i="16" s="1"/>
  <c r="G12" i="16"/>
  <c r="K12" i="16"/>
  <c r="K14" i="16" s="1"/>
  <c r="K15" i="16" s="1"/>
  <c r="L12" i="16"/>
  <c r="P12" i="16"/>
  <c r="P14" i="16" s="1"/>
  <c r="P15" i="16" s="1"/>
  <c r="Q12" i="16"/>
  <c r="U12" i="16"/>
  <c r="U14" i="16" s="1"/>
  <c r="U15" i="16" s="1"/>
  <c r="V12" i="16"/>
  <c r="F158" i="25"/>
  <c r="E158" i="25"/>
  <c r="H158" i="25"/>
  <c r="F157" i="25"/>
  <c r="E157" i="25"/>
  <c r="H157" i="25"/>
  <c r="F156" i="25"/>
  <c r="E156" i="25"/>
  <c r="H156" i="25"/>
  <c r="G158" i="25"/>
  <c r="G157" i="25"/>
  <c r="G156" i="25"/>
  <c r="F155" i="25"/>
  <c r="E155" i="25"/>
  <c r="H155" i="25"/>
  <c r="G155" i="25"/>
  <c r="E163" i="26"/>
  <c r="D163" i="26"/>
  <c r="G163" i="26"/>
  <c r="F163" i="26"/>
  <c r="E162" i="26"/>
  <c r="D162" i="26"/>
  <c r="G162" i="26"/>
  <c r="E161" i="26"/>
  <c r="D161" i="26"/>
  <c r="G161" i="26"/>
  <c r="E160" i="26"/>
  <c r="D160" i="26"/>
  <c r="G160" i="26"/>
  <c r="F162" i="26"/>
  <c r="F161" i="26"/>
  <c r="F160" i="26"/>
  <c r="F161" i="6"/>
  <c r="D161" i="6"/>
  <c r="G159" i="8"/>
  <c r="E159" i="8"/>
  <c r="G158" i="8"/>
  <c r="E158" i="8"/>
  <c r="E157" i="8"/>
  <c r="G157" i="8"/>
  <c r="G156" i="8"/>
  <c r="E156" i="8"/>
  <c r="D160" i="6"/>
  <c r="D159" i="6"/>
  <c r="D158" i="6"/>
  <c r="F160" i="6"/>
  <c r="F159" i="6"/>
  <c r="F158" i="6"/>
  <c r="B4" i="8"/>
  <c r="H30" i="8" s="1"/>
  <c r="E54" i="22"/>
  <c r="H54" i="22" s="1"/>
  <c r="F54" i="22"/>
  <c r="G54" i="22"/>
  <c r="E53" i="22"/>
  <c r="E52" i="22"/>
  <c r="H52" i="22" s="1"/>
  <c r="E51" i="22"/>
  <c r="H51" i="22" s="1"/>
  <c r="F51" i="22"/>
  <c r="G51" i="22"/>
  <c r="E50" i="22"/>
  <c r="H50" i="22" s="1"/>
  <c r="F50" i="22"/>
  <c r="G50" i="22"/>
  <c r="E49" i="22"/>
  <c r="E48" i="22"/>
  <c r="H48" i="22" s="1"/>
  <c r="F48" i="22"/>
  <c r="G48" i="22" s="1"/>
  <c r="E47" i="22"/>
  <c r="H47" i="22" s="1"/>
  <c r="F47" i="22"/>
  <c r="G47" i="22" s="1"/>
  <c r="E46" i="22"/>
  <c r="H46" i="22" s="1"/>
  <c r="F46" i="22"/>
  <c r="G46" i="22"/>
  <c r="E45" i="22"/>
  <c r="E44" i="22"/>
  <c r="H44" i="22" s="1"/>
  <c r="E43" i="22"/>
  <c r="H43" i="22" s="1"/>
  <c r="F43" i="22"/>
  <c r="G43" i="22"/>
  <c r="E42" i="22"/>
  <c r="H42" i="22" s="1"/>
  <c r="F42" i="22"/>
  <c r="G42" i="22"/>
  <c r="E41" i="22"/>
  <c r="E40" i="22"/>
  <c r="H40" i="22" s="1"/>
  <c r="F40" i="22"/>
  <c r="G40" i="22" s="1"/>
  <c r="E39" i="22"/>
  <c r="H39" i="22" s="1"/>
  <c r="F39" i="22"/>
  <c r="G39" i="22" s="1"/>
  <c r="E38" i="22"/>
  <c r="H38" i="22" s="1"/>
  <c r="F38" i="22"/>
  <c r="G38" i="22"/>
  <c r="E37" i="22"/>
  <c r="E36" i="22"/>
  <c r="H36" i="22" s="1"/>
  <c r="E35" i="22"/>
  <c r="H35" i="22" s="1"/>
  <c r="F35" i="22"/>
  <c r="G35" i="22"/>
  <c r="E34" i="22"/>
  <c r="H34" i="22" s="1"/>
  <c r="F34" i="22"/>
  <c r="G34" i="22"/>
  <c r="E33" i="22"/>
  <c r="E32" i="22"/>
  <c r="H32" i="22" s="1"/>
  <c r="F32" i="22"/>
  <c r="G32" i="22" s="1"/>
  <c r="E31" i="22"/>
  <c r="H31" i="22" s="1"/>
  <c r="F31" i="22"/>
  <c r="G31" i="22" s="1"/>
  <c r="E30" i="22"/>
  <c r="H30" i="22" s="1"/>
  <c r="F30" i="22"/>
  <c r="G30" i="22"/>
  <c r="E29" i="22"/>
  <c r="E28" i="22"/>
  <c r="H28" i="22" s="1"/>
  <c r="E27" i="22"/>
  <c r="H27" i="22" s="1"/>
  <c r="F27" i="22"/>
  <c r="G27" i="22"/>
  <c r="E26" i="22"/>
  <c r="H26" i="22" s="1"/>
  <c r="F26" i="22"/>
  <c r="G26" i="22"/>
  <c r="E25" i="22"/>
  <c r="E24" i="22"/>
  <c r="H24" i="22" s="1"/>
  <c r="F24" i="22"/>
  <c r="G24" i="22" s="1"/>
  <c r="E23" i="22"/>
  <c r="H23" i="22" s="1"/>
  <c r="F23" i="22"/>
  <c r="G23" i="22" s="1"/>
  <c r="E22" i="22"/>
  <c r="H22" i="22" s="1"/>
  <c r="F22" i="22"/>
  <c r="G22" i="22"/>
  <c r="E21" i="22"/>
  <c r="E20" i="22"/>
  <c r="H20" i="22" s="1"/>
  <c r="E19" i="22"/>
  <c r="H19" i="22" s="1"/>
  <c r="F19" i="22"/>
  <c r="G19" i="22"/>
  <c r="E18" i="22"/>
  <c r="H18" i="22" s="1"/>
  <c r="F18" i="22"/>
  <c r="G18" i="22"/>
  <c r="E17" i="22"/>
  <c r="E16" i="22"/>
  <c r="H16" i="22" s="1"/>
  <c r="F16" i="22"/>
  <c r="G16" i="22" s="1"/>
  <c r="M5" i="13"/>
  <c r="N5" i="13"/>
  <c r="M6" i="13"/>
  <c r="N6" i="13" s="1"/>
  <c r="M7" i="13"/>
  <c r="N7" i="13"/>
  <c r="M8" i="13"/>
  <c r="N8" i="13" s="1"/>
  <c r="M9" i="13"/>
  <c r="N9" i="13"/>
  <c r="M10" i="13"/>
  <c r="N10" i="13" s="1"/>
  <c r="M11" i="13"/>
  <c r="N11" i="13"/>
  <c r="M12" i="13"/>
  <c r="N12" i="13" s="1"/>
  <c r="M13" i="13"/>
  <c r="N13" i="13"/>
  <c r="M14" i="13"/>
  <c r="N14" i="13" s="1"/>
  <c r="M15" i="13"/>
  <c r="N15" i="13"/>
  <c r="M16" i="13"/>
  <c r="N16" i="13" s="1"/>
  <c r="M17" i="13"/>
  <c r="N17" i="13"/>
  <c r="M18" i="13"/>
  <c r="N18" i="13" s="1"/>
  <c r="M19" i="13"/>
  <c r="N19" i="13"/>
  <c r="M20" i="13"/>
  <c r="N20" i="13" s="1"/>
  <c r="M21" i="13"/>
  <c r="N21" i="13"/>
  <c r="M22" i="13"/>
  <c r="N22" i="13" s="1"/>
  <c r="M23" i="13"/>
  <c r="N23" i="13"/>
  <c r="M24" i="13"/>
  <c r="N24" i="13" s="1"/>
  <c r="M25" i="13"/>
  <c r="N25" i="13"/>
  <c r="M26" i="13"/>
  <c r="N26" i="13" s="1"/>
  <c r="M27" i="13"/>
  <c r="N27" i="13"/>
  <c r="M28" i="13"/>
  <c r="N28" i="13" s="1"/>
  <c r="M29" i="13"/>
  <c r="N29" i="13"/>
  <c r="M30" i="13"/>
  <c r="N30" i="13" s="1"/>
  <c r="M31" i="13"/>
  <c r="N31" i="13"/>
  <c r="M32" i="13"/>
  <c r="N32" i="13" s="1"/>
  <c r="M33" i="13"/>
  <c r="N33" i="13"/>
  <c r="M34" i="13"/>
  <c r="N34" i="13" s="1"/>
  <c r="M35" i="13"/>
  <c r="N35" i="13"/>
  <c r="M36" i="13"/>
  <c r="N36" i="13" s="1"/>
  <c r="M37" i="13"/>
  <c r="N37" i="13"/>
  <c r="M38" i="13"/>
  <c r="N38" i="13" s="1"/>
  <c r="M39" i="13"/>
  <c r="N39" i="13"/>
  <c r="M40" i="13"/>
  <c r="N40" i="13" s="1"/>
  <c r="M41" i="13"/>
  <c r="N41" i="13"/>
  <c r="M42" i="13"/>
  <c r="N42" i="13" s="1"/>
  <c r="M43" i="13"/>
  <c r="N43" i="13"/>
  <c r="M44" i="13"/>
  <c r="N44" i="13" s="1"/>
  <c r="M45" i="13"/>
  <c r="N45" i="13"/>
  <c r="M46" i="13"/>
  <c r="N46" i="13" s="1"/>
  <c r="M47" i="13"/>
  <c r="N47" i="13"/>
  <c r="M48" i="13"/>
  <c r="N48" i="13" s="1"/>
  <c r="M49" i="13"/>
  <c r="N49" i="13"/>
  <c r="M50" i="13"/>
  <c r="N50" i="13" s="1"/>
  <c r="M51" i="13"/>
  <c r="N51" i="13"/>
  <c r="M52" i="13"/>
  <c r="N52" i="13" s="1"/>
  <c r="M53" i="13"/>
  <c r="N53" i="13"/>
  <c r="M54" i="13"/>
  <c r="N54" i="13" s="1"/>
  <c r="E5" i="13"/>
  <c r="E6" i="13"/>
  <c r="E7" i="13"/>
  <c r="E8" i="13"/>
  <c r="D9" i="13"/>
  <c r="E9" i="13"/>
  <c r="D10" i="13"/>
  <c r="E10" i="13" s="1"/>
  <c r="D11" i="13"/>
  <c r="E11" i="13"/>
  <c r="D12" i="13"/>
  <c r="E12" i="13" s="1"/>
  <c r="D13" i="13"/>
  <c r="E13" i="13"/>
  <c r="D14" i="13"/>
  <c r="E14" i="13" s="1"/>
  <c r="D15" i="13"/>
  <c r="E15" i="13"/>
  <c r="D16" i="13"/>
  <c r="E16" i="13" s="1"/>
  <c r="D17" i="13"/>
  <c r="E17" i="13"/>
  <c r="D18" i="13"/>
  <c r="E18" i="13" s="1"/>
  <c r="D19" i="13"/>
  <c r="E19" i="13"/>
  <c r="D20" i="13"/>
  <c r="E20" i="13" s="1"/>
  <c r="D21" i="13"/>
  <c r="E21" i="13" s="1"/>
  <c r="D22" i="13"/>
  <c r="E22" i="13" s="1"/>
  <c r="D23" i="13"/>
  <c r="E23" i="13"/>
  <c r="D24" i="13"/>
  <c r="E24" i="13" s="1"/>
  <c r="D25" i="13"/>
  <c r="E25" i="13" s="1"/>
  <c r="D26" i="13"/>
  <c r="E26" i="13" s="1"/>
  <c r="D27" i="13"/>
  <c r="E27" i="13"/>
  <c r="D28" i="13"/>
  <c r="E28" i="13" s="1"/>
  <c r="D29" i="13"/>
  <c r="E29" i="13" s="1"/>
  <c r="D30" i="13"/>
  <c r="E30" i="13" s="1"/>
  <c r="D31" i="13"/>
  <c r="E31" i="13"/>
  <c r="D32" i="13"/>
  <c r="E32" i="13" s="1"/>
  <c r="D33" i="13"/>
  <c r="E33" i="13" s="1"/>
  <c r="D34" i="13"/>
  <c r="E34" i="13" s="1"/>
  <c r="D35" i="13"/>
  <c r="E35" i="13"/>
  <c r="D36" i="13"/>
  <c r="E36" i="13" s="1"/>
  <c r="D37" i="13"/>
  <c r="E37" i="13" s="1"/>
  <c r="D38" i="13"/>
  <c r="E38" i="13" s="1"/>
  <c r="D39" i="13"/>
  <c r="E39" i="13"/>
  <c r="D40" i="13"/>
  <c r="E40" i="13" s="1"/>
  <c r="D41" i="13"/>
  <c r="E41" i="13" s="1"/>
  <c r="D42" i="13"/>
  <c r="E42" i="13" s="1"/>
  <c r="D43" i="13"/>
  <c r="E43" i="13"/>
  <c r="D44" i="13"/>
  <c r="E44" i="13" s="1"/>
  <c r="D45" i="13"/>
  <c r="E45" i="13" s="1"/>
  <c r="D46" i="13"/>
  <c r="E46" i="13" s="1"/>
  <c r="D47" i="13"/>
  <c r="E47" i="13"/>
  <c r="D48" i="13"/>
  <c r="E48" i="13" s="1"/>
  <c r="D49" i="13"/>
  <c r="E49" i="13" s="1"/>
  <c r="D50" i="13"/>
  <c r="E50" i="13" s="1"/>
  <c r="D51" i="13"/>
  <c r="E51" i="13"/>
  <c r="D52" i="13"/>
  <c r="E52" i="13" s="1"/>
  <c r="D53" i="13"/>
  <c r="E53" i="13" s="1"/>
  <c r="D54" i="13"/>
  <c r="E54" i="13" s="1"/>
  <c r="H5" i="13"/>
  <c r="I5" i="13"/>
  <c r="H6" i="13"/>
  <c r="I6" i="13" s="1"/>
  <c r="H7" i="13"/>
  <c r="I7" i="13" s="1"/>
  <c r="H8" i="13"/>
  <c r="I8" i="13" s="1"/>
  <c r="H9" i="13"/>
  <c r="I9" i="13"/>
  <c r="H10" i="13"/>
  <c r="I10" i="13" s="1"/>
  <c r="H11" i="13"/>
  <c r="I11" i="13" s="1"/>
  <c r="H12" i="13"/>
  <c r="I12" i="13" s="1"/>
  <c r="H13" i="13"/>
  <c r="I13" i="13"/>
  <c r="H14" i="13"/>
  <c r="I14" i="13" s="1"/>
  <c r="H15" i="13"/>
  <c r="I15" i="13" s="1"/>
  <c r="H16" i="13"/>
  <c r="I16" i="13" s="1"/>
  <c r="H17" i="13"/>
  <c r="I17" i="13"/>
  <c r="H18" i="13"/>
  <c r="I18" i="13" s="1"/>
  <c r="H19" i="13"/>
  <c r="I19" i="13" s="1"/>
  <c r="H20" i="13"/>
  <c r="I20" i="13" s="1"/>
  <c r="H21" i="13"/>
  <c r="I21" i="13"/>
  <c r="H22" i="13"/>
  <c r="I22" i="13" s="1"/>
  <c r="H23" i="13"/>
  <c r="I23" i="13" s="1"/>
  <c r="H24" i="13"/>
  <c r="I24" i="13" s="1"/>
  <c r="H25" i="13"/>
  <c r="I25" i="13"/>
  <c r="H26" i="13"/>
  <c r="I26" i="13" s="1"/>
  <c r="H27" i="13"/>
  <c r="I27" i="13" s="1"/>
  <c r="H28" i="13"/>
  <c r="I28" i="13" s="1"/>
  <c r="H29" i="13"/>
  <c r="I29" i="13"/>
  <c r="H30" i="13"/>
  <c r="I30" i="13" s="1"/>
  <c r="H31" i="13"/>
  <c r="I31" i="13" s="1"/>
  <c r="H32" i="13"/>
  <c r="I32" i="13" s="1"/>
  <c r="H33" i="13"/>
  <c r="I33" i="13"/>
  <c r="H34" i="13"/>
  <c r="I34" i="13" s="1"/>
  <c r="H35" i="13"/>
  <c r="I35" i="13" s="1"/>
  <c r="H36" i="13"/>
  <c r="I36" i="13" s="1"/>
  <c r="H37" i="13"/>
  <c r="I37" i="13"/>
  <c r="H38" i="13"/>
  <c r="I38" i="13" s="1"/>
  <c r="H39" i="13"/>
  <c r="I39" i="13" s="1"/>
  <c r="H40" i="13"/>
  <c r="I40" i="13" s="1"/>
  <c r="H41" i="13"/>
  <c r="I41" i="13"/>
  <c r="H42" i="13"/>
  <c r="I42" i="13" s="1"/>
  <c r="H43" i="13"/>
  <c r="I43" i="13" s="1"/>
  <c r="H44" i="13"/>
  <c r="I44" i="13" s="1"/>
  <c r="H45" i="13"/>
  <c r="I45" i="13" s="1"/>
  <c r="H46" i="13"/>
  <c r="I46" i="13" s="1"/>
  <c r="H47" i="13"/>
  <c r="I47" i="13" s="1"/>
  <c r="H48" i="13"/>
  <c r="I48" i="13" s="1"/>
  <c r="H49" i="13"/>
  <c r="I49" i="13" s="1"/>
  <c r="H50" i="13"/>
  <c r="I50" i="13" s="1"/>
  <c r="H51" i="13"/>
  <c r="I51" i="13" s="1"/>
  <c r="H52" i="13"/>
  <c r="I52" i="13" s="1"/>
  <c r="H53" i="13"/>
  <c r="I53" i="13" s="1"/>
  <c r="H54" i="13"/>
  <c r="I54" i="13" s="1"/>
  <c r="U12" i="15"/>
  <c r="V12" i="15"/>
  <c r="P12" i="15"/>
  <c r="Q12" i="15"/>
  <c r="K12" i="15"/>
  <c r="L12" i="15"/>
  <c r="F12" i="15"/>
  <c r="G12" i="15"/>
  <c r="T13" i="9"/>
  <c r="U13" i="9"/>
  <c r="O13" i="9"/>
  <c r="P13" i="9"/>
  <c r="J13" i="9"/>
  <c r="K13" i="9"/>
  <c r="E13" i="9"/>
  <c r="F13" i="9"/>
  <c r="O13" i="2"/>
  <c r="J13" i="2"/>
  <c r="E13" i="2"/>
  <c r="E15" i="22"/>
  <c r="H15" i="22" s="1"/>
  <c r="F15" i="22"/>
  <c r="G15" i="22" s="1"/>
  <c r="E14" i="22"/>
  <c r="E12" i="22"/>
  <c r="H12" i="22" s="1"/>
  <c r="F12" i="22"/>
  <c r="G12" i="22" s="1"/>
  <c r="E13" i="22"/>
  <c r="D11" i="22"/>
  <c r="E11" i="22"/>
  <c r="E10" i="22"/>
  <c r="H10" i="22" s="1"/>
  <c r="F10" i="22"/>
  <c r="G10" i="22" s="1"/>
  <c r="E9" i="22"/>
  <c r="E8" i="22"/>
  <c r="H8" i="22" s="1"/>
  <c r="F8" i="22"/>
  <c r="G8" i="22" s="1"/>
  <c r="E7" i="22"/>
  <c r="E6" i="22"/>
  <c r="H6" i="22" s="1"/>
  <c r="F6" i="22"/>
  <c r="G6" i="22" s="1"/>
  <c r="D5" i="22"/>
  <c r="D42" i="21"/>
  <c r="D41" i="21"/>
  <c r="D39" i="21"/>
  <c r="D38" i="21"/>
  <c r="D37" i="21"/>
  <c r="D36" i="21"/>
  <c r="K5" i="21"/>
  <c r="C36" i="21" s="1"/>
  <c r="D33" i="21"/>
  <c r="D32" i="21"/>
  <c r="D30" i="21"/>
  <c r="D31" i="21"/>
  <c r="D29" i="21"/>
  <c r="C24" i="21"/>
  <c r="D23" i="21"/>
  <c r="D22" i="21"/>
  <c r="D19" i="21"/>
  <c r="D18" i="21"/>
  <c r="D17" i="21"/>
  <c r="E17" i="21" s="1"/>
  <c r="H17" i="21" s="1"/>
  <c r="D16" i="21"/>
  <c r="D15" i="21"/>
  <c r="E15" i="21"/>
  <c r="D14" i="21"/>
  <c r="D13" i="21"/>
  <c r="D12" i="21"/>
  <c r="D11" i="21"/>
  <c r="E11" i="21"/>
  <c r="D10" i="21"/>
  <c r="D9" i="21"/>
  <c r="D5" i="21"/>
  <c r="E5" i="21" s="1"/>
  <c r="H5" i="21" s="1"/>
  <c r="D4" i="21"/>
  <c r="B5" i="2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E46" i="21"/>
  <c r="E49" i="21"/>
  <c r="E39" i="21"/>
  <c r="C34" i="21"/>
  <c r="C4" i="21"/>
  <c r="C19" i="21"/>
  <c r="E32" i="21"/>
  <c r="B6" i="20"/>
  <c r="B7" i="20" s="1"/>
  <c r="B8" i="20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K8" i="20"/>
  <c r="K7" i="20"/>
  <c r="K5" i="20"/>
  <c r="C7" i="12"/>
  <c r="C8" i="12"/>
  <c r="D8" i="12" s="1"/>
  <c r="C9" i="12"/>
  <c r="D9" i="12" s="1"/>
  <c r="C10" i="12"/>
  <c r="D10" i="12" s="1"/>
  <c r="C11" i="12"/>
  <c r="D11" i="12" s="1"/>
  <c r="C12" i="12"/>
  <c r="D12" i="12" s="1"/>
  <c r="C13" i="12"/>
  <c r="D13" i="12" s="1"/>
  <c r="C14" i="12"/>
  <c r="D14" i="12" s="1"/>
  <c r="C15" i="12"/>
  <c r="D15" i="12" s="1"/>
  <c r="C16" i="12"/>
  <c r="D16" i="12" s="1"/>
  <c r="C17" i="12"/>
  <c r="D17" i="12" s="1"/>
  <c r="C18" i="12"/>
  <c r="D18" i="12" s="1"/>
  <c r="C19" i="12"/>
  <c r="D19" i="12" s="1"/>
  <c r="C20" i="12"/>
  <c r="D20" i="12" s="1"/>
  <c r="C21" i="12"/>
  <c r="D21" i="12" s="1"/>
  <c r="C22" i="12"/>
  <c r="D22" i="12" s="1"/>
  <c r="C23" i="12"/>
  <c r="D23" i="12" s="1"/>
  <c r="C24" i="12"/>
  <c r="D24" i="12" s="1"/>
  <c r="C25" i="12"/>
  <c r="D25" i="12" s="1"/>
  <c r="C26" i="12"/>
  <c r="D26" i="12"/>
  <c r="C27" i="12"/>
  <c r="D27" i="12" s="1"/>
  <c r="C28" i="12"/>
  <c r="D28" i="12" s="1"/>
  <c r="C29" i="12"/>
  <c r="D29" i="12" s="1"/>
  <c r="C30" i="12"/>
  <c r="D30" i="12" s="1"/>
  <c r="C31" i="12"/>
  <c r="D31" i="12" s="1"/>
  <c r="C32" i="12"/>
  <c r="D32" i="12" s="1"/>
  <c r="C33" i="12"/>
  <c r="D33" i="12" s="1"/>
  <c r="C34" i="12"/>
  <c r="D34" i="12"/>
  <c r="C35" i="12"/>
  <c r="D35" i="12" s="1"/>
  <c r="C36" i="12"/>
  <c r="D36" i="12" s="1"/>
  <c r="C37" i="12"/>
  <c r="D37" i="12" s="1"/>
  <c r="C38" i="12"/>
  <c r="D38" i="12" s="1"/>
  <c r="C39" i="12"/>
  <c r="D39" i="12" s="1"/>
  <c r="C40" i="12"/>
  <c r="D40" i="12" s="1"/>
  <c r="C41" i="12"/>
  <c r="D41" i="12" s="1"/>
  <c r="C42" i="12"/>
  <c r="D42" i="12"/>
  <c r="C43" i="12"/>
  <c r="D43" i="12" s="1"/>
  <c r="C44" i="12"/>
  <c r="D44" i="12" s="1"/>
  <c r="C45" i="12"/>
  <c r="D45" i="12" s="1"/>
  <c r="C46" i="12"/>
  <c r="D46" i="12" s="1"/>
  <c r="C47" i="12"/>
  <c r="D47" i="12" s="1"/>
  <c r="C48" i="12"/>
  <c r="D48" i="12" s="1"/>
  <c r="C49" i="12"/>
  <c r="D49" i="12" s="1"/>
  <c r="C50" i="12"/>
  <c r="D50" i="12" s="1"/>
  <c r="C51" i="12"/>
  <c r="D51" i="12" s="1"/>
  <c r="C52" i="12"/>
  <c r="D52" i="12" s="1"/>
  <c r="C53" i="12"/>
  <c r="D53" i="12" s="1"/>
  <c r="C54" i="12"/>
  <c r="D54" i="12" s="1"/>
  <c r="C55" i="12"/>
  <c r="D55" i="12" s="1"/>
  <c r="C56" i="12"/>
  <c r="D56" i="12" s="1"/>
  <c r="G7" i="12"/>
  <c r="G8" i="12"/>
  <c r="H8" i="12" s="1"/>
  <c r="G9" i="12"/>
  <c r="H9" i="12" s="1"/>
  <c r="G10" i="12"/>
  <c r="H10" i="12" s="1"/>
  <c r="G11" i="12"/>
  <c r="H11" i="12" s="1"/>
  <c r="G12" i="12"/>
  <c r="H12" i="12" s="1"/>
  <c r="G13" i="12"/>
  <c r="H13" i="12" s="1"/>
  <c r="G14" i="12"/>
  <c r="H14" i="12" s="1"/>
  <c r="G15" i="12"/>
  <c r="H15" i="12" s="1"/>
  <c r="G16" i="12"/>
  <c r="H16" i="12"/>
  <c r="G17" i="12"/>
  <c r="H17" i="12" s="1"/>
  <c r="G18" i="12"/>
  <c r="H18" i="12" s="1"/>
  <c r="G19" i="12"/>
  <c r="H19" i="12" s="1"/>
  <c r="G20" i="12"/>
  <c r="H20" i="12" s="1"/>
  <c r="G21" i="12"/>
  <c r="H21" i="12" s="1"/>
  <c r="G22" i="12"/>
  <c r="H22" i="12" s="1"/>
  <c r="G23" i="12"/>
  <c r="H23" i="12" s="1"/>
  <c r="G24" i="12"/>
  <c r="H24" i="12"/>
  <c r="G25" i="12"/>
  <c r="H25" i="12" s="1"/>
  <c r="G26" i="12"/>
  <c r="H26" i="12" s="1"/>
  <c r="G27" i="12"/>
  <c r="H27" i="12" s="1"/>
  <c r="G28" i="12"/>
  <c r="H28" i="12" s="1"/>
  <c r="G29" i="12"/>
  <c r="H29" i="12" s="1"/>
  <c r="G30" i="12"/>
  <c r="H30" i="12" s="1"/>
  <c r="G31" i="12"/>
  <c r="H31" i="12" s="1"/>
  <c r="G32" i="12"/>
  <c r="H32" i="12" s="1"/>
  <c r="G33" i="12"/>
  <c r="H33" i="12" s="1"/>
  <c r="G34" i="12"/>
  <c r="H34" i="12" s="1"/>
  <c r="G35" i="12"/>
  <c r="H35" i="12" s="1"/>
  <c r="G36" i="12"/>
  <c r="H36" i="12" s="1"/>
  <c r="G37" i="12"/>
  <c r="H37" i="12" s="1"/>
  <c r="G38" i="12"/>
  <c r="H38" i="12" s="1"/>
  <c r="G39" i="12"/>
  <c r="H39" i="12" s="1"/>
  <c r="G40" i="12"/>
  <c r="H40" i="12" s="1"/>
  <c r="G41" i="12"/>
  <c r="H41" i="12" s="1"/>
  <c r="G42" i="12"/>
  <c r="H42" i="12" s="1"/>
  <c r="G43" i="12"/>
  <c r="H43" i="12" s="1"/>
  <c r="G44" i="12"/>
  <c r="H44" i="12" s="1"/>
  <c r="G45" i="12"/>
  <c r="H45" i="12" s="1"/>
  <c r="G46" i="12"/>
  <c r="H46" i="12" s="1"/>
  <c r="G47" i="12"/>
  <c r="H47" i="12" s="1"/>
  <c r="G48" i="12"/>
  <c r="H48" i="12"/>
  <c r="G49" i="12"/>
  <c r="H49" i="12" s="1"/>
  <c r="G50" i="12"/>
  <c r="H50" i="12" s="1"/>
  <c r="G51" i="12"/>
  <c r="H51" i="12" s="1"/>
  <c r="G52" i="12"/>
  <c r="H52" i="12" s="1"/>
  <c r="G53" i="12"/>
  <c r="H53" i="12" s="1"/>
  <c r="G54" i="12"/>
  <c r="H54" i="12" s="1"/>
  <c r="G55" i="12"/>
  <c r="H55" i="12" s="1"/>
  <c r="G56" i="12"/>
  <c r="H56" i="12"/>
  <c r="L7" i="12"/>
  <c r="L8" i="12"/>
  <c r="M8" i="12" s="1"/>
  <c r="L9" i="12"/>
  <c r="M9" i="12" s="1"/>
  <c r="L10" i="12"/>
  <c r="M10" i="12" s="1"/>
  <c r="L11" i="12"/>
  <c r="M11" i="12" s="1"/>
  <c r="L12" i="12"/>
  <c r="M12" i="12" s="1"/>
  <c r="L13" i="12"/>
  <c r="M13" i="12" s="1"/>
  <c r="L14" i="12"/>
  <c r="M14" i="12" s="1"/>
  <c r="L15" i="12"/>
  <c r="M15" i="12" s="1"/>
  <c r="L16" i="12"/>
  <c r="M16" i="12" s="1"/>
  <c r="L17" i="12"/>
  <c r="M17" i="12" s="1"/>
  <c r="L18" i="12"/>
  <c r="M18" i="12" s="1"/>
  <c r="L19" i="12"/>
  <c r="M19" i="12" s="1"/>
  <c r="L20" i="12"/>
  <c r="M20" i="12" s="1"/>
  <c r="L21" i="12"/>
  <c r="M21" i="12" s="1"/>
  <c r="L22" i="12"/>
  <c r="M22" i="12"/>
  <c r="L23" i="12"/>
  <c r="M23" i="12" s="1"/>
  <c r="L24" i="12"/>
  <c r="M24" i="12" s="1"/>
  <c r="L25" i="12"/>
  <c r="M25" i="12" s="1"/>
  <c r="L26" i="12"/>
  <c r="M26" i="12" s="1"/>
  <c r="L27" i="12"/>
  <c r="M27" i="12" s="1"/>
  <c r="L28" i="12"/>
  <c r="M28" i="12" s="1"/>
  <c r="L29" i="12"/>
  <c r="M29" i="12" s="1"/>
  <c r="L30" i="12"/>
  <c r="M30" i="12"/>
  <c r="L31" i="12"/>
  <c r="M31" i="12" s="1"/>
  <c r="L32" i="12"/>
  <c r="M32" i="12" s="1"/>
  <c r="L33" i="12"/>
  <c r="M33" i="12" s="1"/>
  <c r="L34" i="12"/>
  <c r="M34" i="12" s="1"/>
  <c r="L35" i="12"/>
  <c r="M35" i="12" s="1"/>
  <c r="L36" i="12"/>
  <c r="M36" i="12" s="1"/>
  <c r="L37" i="12"/>
  <c r="M37" i="12" s="1"/>
  <c r="L38" i="12"/>
  <c r="M38" i="12"/>
  <c r="L39" i="12"/>
  <c r="M39" i="12" s="1"/>
  <c r="L40" i="12"/>
  <c r="M40" i="12" s="1"/>
  <c r="L41" i="12"/>
  <c r="M41" i="12" s="1"/>
  <c r="L42" i="12"/>
  <c r="M42" i="12" s="1"/>
  <c r="L43" i="12"/>
  <c r="M43" i="12" s="1"/>
  <c r="L44" i="12"/>
  <c r="M44" i="12" s="1"/>
  <c r="L45" i="12"/>
  <c r="M45" i="12" s="1"/>
  <c r="L46" i="12"/>
  <c r="M46" i="12" s="1"/>
  <c r="L47" i="12"/>
  <c r="M47" i="12" s="1"/>
  <c r="L48" i="12"/>
  <c r="M48" i="12" s="1"/>
  <c r="L49" i="12"/>
  <c r="M49" i="12" s="1"/>
  <c r="L50" i="12"/>
  <c r="M50" i="12" s="1"/>
  <c r="L51" i="12"/>
  <c r="M51" i="12" s="1"/>
  <c r="L52" i="12"/>
  <c r="M52" i="12" s="1"/>
  <c r="L53" i="12"/>
  <c r="M53" i="12" s="1"/>
  <c r="L54" i="12"/>
  <c r="M54" i="12" s="1"/>
  <c r="L55" i="12"/>
  <c r="M55" i="12" s="1"/>
  <c r="L56" i="12"/>
  <c r="M56" i="12" s="1"/>
  <c r="D4" i="18"/>
  <c r="D5" i="18"/>
  <c r="E5" i="18" s="1"/>
  <c r="D6" i="18"/>
  <c r="E6" i="18" s="1"/>
  <c r="D7" i="18"/>
  <c r="E7" i="18"/>
  <c r="D8" i="18"/>
  <c r="E8" i="18" s="1"/>
  <c r="D9" i="18"/>
  <c r="E9" i="18"/>
  <c r="D10" i="18"/>
  <c r="E10" i="18" s="1"/>
  <c r="D11" i="18"/>
  <c r="E11" i="18" s="1"/>
  <c r="D12" i="18"/>
  <c r="E12" i="18" s="1"/>
  <c r="D13" i="18"/>
  <c r="E13" i="18" s="1"/>
  <c r="D14" i="18"/>
  <c r="E14" i="18" s="1"/>
  <c r="D15" i="18"/>
  <c r="E15" i="18"/>
  <c r="D16" i="18"/>
  <c r="E16" i="18" s="1"/>
  <c r="D17" i="18"/>
  <c r="E17" i="18"/>
  <c r="D18" i="18"/>
  <c r="E18" i="18" s="1"/>
  <c r="D19" i="18"/>
  <c r="E19" i="18" s="1"/>
  <c r="D20" i="18"/>
  <c r="E20" i="18" s="1"/>
  <c r="D21" i="18"/>
  <c r="E21" i="18" s="1"/>
  <c r="D22" i="18"/>
  <c r="E22" i="18" s="1"/>
  <c r="D23" i="18"/>
  <c r="E23" i="18"/>
  <c r="D24" i="18"/>
  <c r="E24" i="18" s="1"/>
  <c r="D25" i="18"/>
  <c r="E25" i="18"/>
  <c r="D26" i="18"/>
  <c r="E26" i="18" s="1"/>
  <c r="D27" i="18"/>
  <c r="E27" i="18" s="1"/>
  <c r="D28" i="18"/>
  <c r="E28" i="18" s="1"/>
  <c r="D29" i="18"/>
  <c r="E29" i="18" s="1"/>
  <c r="D30" i="18"/>
  <c r="E30" i="18" s="1"/>
  <c r="D31" i="18"/>
  <c r="E31" i="18"/>
  <c r="D32" i="18"/>
  <c r="E32" i="18" s="1"/>
  <c r="D33" i="18"/>
  <c r="E33" i="18"/>
  <c r="D34" i="18"/>
  <c r="E34" i="18" s="1"/>
  <c r="D35" i="18"/>
  <c r="E35" i="18" s="1"/>
  <c r="D36" i="18"/>
  <c r="E36" i="18" s="1"/>
  <c r="D37" i="18"/>
  <c r="E37" i="18" s="1"/>
  <c r="D38" i="18"/>
  <c r="E38" i="18" s="1"/>
  <c r="D39" i="18"/>
  <c r="E39" i="18"/>
  <c r="D40" i="18"/>
  <c r="E40" i="18" s="1"/>
  <c r="D41" i="18"/>
  <c r="E41" i="18"/>
  <c r="D42" i="18"/>
  <c r="E42" i="18" s="1"/>
  <c r="D43" i="18"/>
  <c r="E43" i="18" s="1"/>
  <c r="D44" i="18"/>
  <c r="E44" i="18" s="1"/>
  <c r="D45" i="18"/>
  <c r="E45" i="18" s="1"/>
  <c r="D46" i="18"/>
  <c r="E46" i="18" s="1"/>
  <c r="D47" i="18"/>
  <c r="E47" i="18"/>
  <c r="D48" i="18"/>
  <c r="E48" i="18" s="1"/>
  <c r="D49" i="18"/>
  <c r="E49" i="18"/>
  <c r="D50" i="18"/>
  <c r="E50" i="18" s="1"/>
  <c r="D51" i="18"/>
  <c r="E51" i="18" s="1"/>
  <c r="D52" i="18"/>
  <c r="E52" i="18" s="1"/>
  <c r="D53" i="18"/>
  <c r="E53" i="18" s="1"/>
  <c r="J5" i="18"/>
  <c r="G6" i="18"/>
  <c r="G7" i="18"/>
  <c r="G8" i="18"/>
  <c r="G9" i="18" s="1"/>
  <c r="G10" i="18" s="1"/>
  <c r="G11" i="18" s="1"/>
  <c r="G12" i="18" s="1"/>
  <c r="G13" i="18" s="1"/>
  <c r="C4" i="10"/>
  <c r="D4" i="10"/>
  <c r="C5" i="10"/>
  <c r="D5" i="10" s="1"/>
  <c r="C6" i="10"/>
  <c r="D6" i="10"/>
  <c r="C7" i="10"/>
  <c r="D7" i="10" s="1"/>
  <c r="C8" i="10"/>
  <c r="D8" i="10"/>
  <c r="C9" i="10"/>
  <c r="D9" i="10" s="1"/>
  <c r="C10" i="10"/>
  <c r="D10" i="10"/>
  <c r="C11" i="10"/>
  <c r="D11" i="10" s="1"/>
  <c r="C12" i="10"/>
  <c r="D12" i="10"/>
  <c r="C13" i="10"/>
  <c r="D13" i="10" s="1"/>
  <c r="C14" i="10"/>
  <c r="D14" i="10"/>
  <c r="C15" i="10"/>
  <c r="D15" i="10" s="1"/>
  <c r="C16" i="10"/>
  <c r="D16" i="10"/>
  <c r="C17" i="10"/>
  <c r="D17" i="10" s="1"/>
  <c r="C18" i="10"/>
  <c r="D18" i="10"/>
  <c r="C19" i="10"/>
  <c r="D19" i="10" s="1"/>
  <c r="C20" i="10"/>
  <c r="D20" i="10"/>
  <c r="C21" i="10"/>
  <c r="D21" i="10" s="1"/>
  <c r="C22" i="10"/>
  <c r="D22" i="10"/>
  <c r="C23" i="10"/>
  <c r="D23" i="10" s="1"/>
  <c r="C24" i="10"/>
  <c r="D24" i="10"/>
  <c r="C25" i="10"/>
  <c r="D25" i="10" s="1"/>
  <c r="C26" i="10"/>
  <c r="D26" i="10"/>
  <c r="C27" i="10"/>
  <c r="D27" i="10" s="1"/>
  <c r="C28" i="10"/>
  <c r="D28" i="10"/>
  <c r="C29" i="10"/>
  <c r="D29" i="10" s="1"/>
  <c r="C30" i="10"/>
  <c r="D30" i="10"/>
  <c r="C31" i="10"/>
  <c r="D31" i="10" s="1"/>
  <c r="C32" i="10"/>
  <c r="D32" i="10"/>
  <c r="C33" i="10"/>
  <c r="D33" i="10" s="1"/>
  <c r="C34" i="10"/>
  <c r="D34" i="10"/>
  <c r="C35" i="10"/>
  <c r="D35" i="10" s="1"/>
  <c r="C36" i="10"/>
  <c r="D36" i="10"/>
  <c r="C37" i="10"/>
  <c r="D37" i="10" s="1"/>
  <c r="C38" i="10"/>
  <c r="D38" i="10"/>
  <c r="C39" i="10"/>
  <c r="D39" i="10" s="1"/>
  <c r="C40" i="10"/>
  <c r="D40" i="10"/>
  <c r="C41" i="10"/>
  <c r="D41" i="10" s="1"/>
  <c r="C42" i="10"/>
  <c r="D42" i="10"/>
  <c r="C43" i="10"/>
  <c r="D43" i="10" s="1"/>
  <c r="C44" i="10"/>
  <c r="D44" i="10"/>
  <c r="C45" i="10"/>
  <c r="D45" i="10" s="1"/>
  <c r="C46" i="10"/>
  <c r="D46" i="10"/>
  <c r="C47" i="10"/>
  <c r="D47" i="10" s="1"/>
  <c r="C48" i="10"/>
  <c r="D48" i="10"/>
  <c r="C49" i="10"/>
  <c r="D49" i="10" s="1"/>
  <c r="C50" i="10"/>
  <c r="D50" i="10"/>
  <c r="C51" i="10"/>
  <c r="D51" i="10" s="1"/>
  <c r="C52" i="10"/>
  <c r="D52" i="10"/>
  <c r="C53" i="10"/>
  <c r="D53" i="10" s="1"/>
  <c r="D146" i="10"/>
  <c r="E5" i="14"/>
  <c r="F5" i="14"/>
  <c r="E6" i="14"/>
  <c r="F6" i="14" s="1"/>
  <c r="E7" i="14"/>
  <c r="F7" i="14"/>
  <c r="E8" i="14"/>
  <c r="F8" i="14" s="1"/>
  <c r="E9" i="14"/>
  <c r="F9" i="14"/>
  <c r="E10" i="14"/>
  <c r="F10" i="14" s="1"/>
  <c r="E11" i="14"/>
  <c r="F11" i="14"/>
  <c r="E12" i="14"/>
  <c r="F12" i="14" s="1"/>
  <c r="E13" i="14"/>
  <c r="F13" i="14"/>
  <c r="E14" i="14"/>
  <c r="F14" i="14" s="1"/>
  <c r="E15" i="14"/>
  <c r="F15" i="14"/>
  <c r="E16" i="14"/>
  <c r="F16" i="14" s="1"/>
  <c r="E17" i="14"/>
  <c r="F17" i="14"/>
  <c r="E18" i="14"/>
  <c r="F18" i="14" s="1"/>
  <c r="E19" i="14"/>
  <c r="F19" i="14"/>
  <c r="E20" i="14"/>
  <c r="F20" i="14" s="1"/>
  <c r="E21" i="14"/>
  <c r="F21" i="14"/>
  <c r="E22" i="14"/>
  <c r="F22" i="14" s="1"/>
  <c r="E23" i="14"/>
  <c r="F23" i="14"/>
  <c r="E24" i="14"/>
  <c r="F24" i="14" s="1"/>
  <c r="E25" i="14"/>
  <c r="F25" i="14"/>
  <c r="E26" i="14"/>
  <c r="F26" i="14" s="1"/>
  <c r="E27" i="14"/>
  <c r="F27" i="14"/>
  <c r="E28" i="14"/>
  <c r="F28" i="14" s="1"/>
  <c r="E29" i="14"/>
  <c r="F29" i="14"/>
  <c r="E30" i="14"/>
  <c r="F30" i="14" s="1"/>
  <c r="E31" i="14"/>
  <c r="F31" i="14"/>
  <c r="E32" i="14"/>
  <c r="F32" i="14" s="1"/>
  <c r="E33" i="14"/>
  <c r="F33" i="14"/>
  <c r="E34" i="14"/>
  <c r="F34" i="14" s="1"/>
  <c r="E35" i="14"/>
  <c r="F35" i="14"/>
  <c r="E36" i="14"/>
  <c r="F36" i="14" s="1"/>
  <c r="E37" i="14"/>
  <c r="F37" i="14"/>
  <c r="E38" i="14"/>
  <c r="F38" i="14" s="1"/>
  <c r="E39" i="14"/>
  <c r="F39" i="14"/>
  <c r="E40" i="14"/>
  <c r="F40" i="14" s="1"/>
  <c r="E41" i="14"/>
  <c r="F41" i="14"/>
  <c r="E42" i="14"/>
  <c r="F42" i="14" s="1"/>
  <c r="E43" i="14"/>
  <c r="F43" i="14"/>
  <c r="E44" i="14"/>
  <c r="F44" i="14" s="1"/>
  <c r="E45" i="14"/>
  <c r="F45" i="14"/>
  <c r="E46" i="14"/>
  <c r="F46" i="14" s="1"/>
  <c r="E47" i="14"/>
  <c r="F47" i="14"/>
  <c r="E48" i="14"/>
  <c r="F48" i="14" s="1"/>
  <c r="E49" i="14"/>
  <c r="F49" i="14"/>
  <c r="E50" i="14"/>
  <c r="F50" i="14" s="1"/>
  <c r="E51" i="14"/>
  <c r="F51" i="14"/>
  <c r="E52" i="14"/>
  <c r="F52" i="14" s="1"/>
  <c r="E53" i="14"/>
  <c r="F53" i="14"/>
  <c r="E54" i="14"/>
  <c r="F54" i="14" s="1"/>
  <c r="J5" i="14"/>
  <c r="K5" i="14"/>
  <c r="J6" i="14"/>
  <c r="K6" i="14" s="1"/>
  <c r="J7" i="14"/>
  <c r="K7" i="14"/>
  <c r="J8" i="14"/>
  <c r="K8" i="14" s="1"/>
  <c r="J9" i="14"/>
  <c r="K9" i="14"/>
  <c r="J10" i="14"/>
  <c r="K10" i="14" s="1"/>
  <c r="J11" i="14"/>
  <c r="K11" i="14"/>
  <c r="J12" i="14"/>
  <c r="K12" i="14" s="1"/>
  <c r="J13" i="14"/>
  <c r="K13" i="14"/>
  <c r="J14" i="14"/>
  <c r="K14" i="14" s="1"/>
  <c r="J15" i="14"/>
  <c r="K15" i="14"/>
  <c r="J16" i="14"/>
  <c r="K16" i="14" s="1"/>
  <c r="J17" i="14"/>
  <c r="K17" i="14"/>
  <c r="J18" i="14"/>
  <c r="K18" i="14" s="1"/>
  <c r="J19" i="14"/>
  <c r="K19" i="14"/>
  <c r="J20" i="14"/>
  <c r="K20" i="14" s="1"/>
  <c r="J21" i="14"/>
  <c r="K21" i="14"/>
  <c r="J22" i="14"/>
  <c r="K22" i="14" s="1"/>
  <c r="J23" i="14"/>
  <c r="K23" i="14"/>
  <c r="J24" i="14"/>
  <c r="K24" i="14" s="1"/>
  <c r="J25" i="14"/>
  <c r="K25" i="14"/>
  <c r="J26" i="14"/>
  <c r="K26" i="14" s="1"/>
  <c r="J27" i="14"/>
  <c r="K27" i="14"/>
  <c r="J28" i="14"/>
  <c r="K28" i="14" s="1"/>
  <c r="J29" i="14"/>
  <c r="K29" i="14"/>
  <c r="J30" i="14"/>
  <c r="K30" i="14" s="1"/>
  <c r="J31" i="14"/>
  <c r="K31" i="14"/>
  <c r="J32" i="14"/>
  <c r="K32" i="14" s="1"/>
  <c r="J33" i="14"/>
  <c r="K33" i="14"/>
  <c r="J34" i="14"/>
  <c r="K34" i="14" s="1"/>
  <c r="J35" i="14"/>
  <c r="K35" i="14"/>
  <c r="J36" i="14"/>
  <c r="K36" i="14" s="1"/>
  <c r="J37" i="14"/>
  <c r="K37" i="14"/>
  <c r="J38" i="14"/>
  <c r="K38" i="14" s="1"/>
  <c r="J39" i="14"/>
  <c r="K39" i="14"/>
  <c r="J40" i="14"/>
  <c r="K40" i="14" s="1"/>
  <c r="J41" i="14"/>
  <c r="K41" i="14"/>
  <c r="J42" i="14"/>
  <c r="K42" i="14" s="1"/>
  <c r="J43" i="14"/>
  <c r="K43" i="14"/>
  <c r="J44" i="14"/>
  <c r="K44" i="14" s="1"/>
  <c r="J45" i="14"/>
  <c r="K45" i="14"/>
  <c r="J46" i="14"/>
  <c r="K46" i="14" s="1"/>
  <c r="J47" i="14"/>
  <c r="K47" i="14"/>
  <c r="J48" i="14"/>
  <c r="K48" i="14" s="1"/>
  <c r="J49" i="14"/>
  <c r="K49" i="14"/>
  <c r="J50" i="14"/>
  <c r="K50" i="14" s="1"/>
  <c r="J51" i="14"/>
  <c r="K51" i="14"/>
  <c r="J52" i="14"/>
  <c r="K52" i="14" s="1"/>
  <c r="J53" i="14"/>
  <c r="K53" i="14"/>
  <c r="J54" i="14"/>
  <c r="K54" i="14" s="1"/>
  <c r="O5" i="14"/>
  <c r="P5" i="14"/>
  <c r="O6" i="14"/>
  <c r="P6" i="14" s="1"/>
  <c r="O7" i="14"/>
  <c r="P7" i="14"/>
  <c r="O8" i="14"/>
  <c r="P8" i="14" s="1"/>
  <c r="O9" i="14"/>
  <c r="P9" i="14"/>
  <c r="O10" i="14"/>
  <c r="P10" i="14" s="1"/>
  <c r="O11" i="14"/>
  <c r="P11" i="14"/>
  <c r="O12" i="14"/>
  <c r="P12" i="14" s="1"/>
  <c r="O13" i="14"/>
  <c r="P13" i="14"/>
  <c r="O14" i="14"/>
  <c r="P14" i="14" s="1"/>
  <c r="O15" i="14"/>
  <c r="P15" i="14"/>
  <c r="O16" i="14"/>
  <c r="P16" i="14" s="1"/>
  <c r="O17" i="14"/>
  <c r="P17" i="14"/>
  <c r="O18" i="14"/>
  <c r="P18" i="14" s="1"/>
  <c r="O19" i="14"/>
  <c r="P19" i="14"/>
  <c r="O20" i="14"/>
  <c r="P20" i="14" s="1"/>
  <c r="O21" i="14"/>
  <c r="P21" i="14"/>
  <c r="O22" i="14"/>
  <c r="P22" i="14" s="1"/>
  <c r="O23" i="14"/>
  <c r="P23" i="14"/>
  <c r="O24" i="14"/>
  <c r="P24" i="14" s="1"/>
  <c r="O25" i="14"/>
  <c r="P25" i="14"/>
  <c r="O26" i="14"/>
  <c r="P26" i="14" s="1"/>
  <c r="O27" i="14"/>
  <c r="P27" i="14"/>
  <c r="O28" i="14"/>
  <c r="P28" i="14" s="1"/>
  <c r="O29" i="14"/>
  <c r="P29" i="14"/>
  <c r="O30" i="14"/>
  <c r="P30" i="14" s="1"/>
  <c r="O31" i="14"/>
  <c r="P31" i="14"/>
  <c r="O32" i="14"/>
  <c r="P32" i="14" s="1"/>
  <c r="O33" i="14"/>
  <c r="P33" i="14"/>
  <c r="O34" i="14"/>
  <c r="P34" i="14" s="1"/>
  <c r="O35" i="14"/>
  <c r="P35" i="14"/>
  <c r="O36" i="14"/>
  <c r="P36" i="14" s="1"/>
  <c r="O37" i="14"/>
  <c r="P37" i="14"/>
  <c r="O38" i="14"/>
  <c r="P38" i="14" s="1"/>
  <c r="O39" i="14"/>
  <c r="P39" i="14"/>
  <c r="O40" i="14"/>
  <c r="P40" i="14" s="1"/>
  <c r="O41" i="14"/>
  <c r="P41" i="14"/>
  <c r="O42" i="14"/>
  <c r="P42" i="14" s="1"/>
  <c r="O43" i="14"/>
  <c r="P43" i="14"/>
  <c r="O44" i="14"/>
  <c r="P44" i="14" s="1"/>
  <c r="O45" i="14"/>
  <c r="P45" i="14"/>
  <c r="O46" i="14"/>
  <c r="P46" i="14" s="1"/>
  <c r="O47" i="14"/>
  <c r="P47" i="14"/>
  <c r="O48" i="14"/>
  <c r="P48" i="14" s="1"/>
  <c r="O49" i="14"/>
  <c r="P49" i="14"/>
  <c r="O50" i="14"/>
  <c r="P50" i="14" s="1"/>
  <c r="O51" i="14"/>
  <c r="P51" i="14"/>
  <c r="O52" i="14"/>
  <c r="P52" i="14" s="1"/>
  <c r="O53" i="14"/>
  <c r="P53" i="14"/>
  <c r="O54" i="14"/>
  <c r="P54" i="14" s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L5" i="11"/>
  <c r="K5" i="11"/>
  <c r="L6" i="11"/>
  <c r="K6" i="11"/>
  <c r="I4" i="10"/>
  <c r="I5" i="10"/>
  <c r="J5" i="10"/>
  <c r="I6" i="10"/>
  <c r="J6" i="10" s="1"/>
  <c r="I7" i="10"/>
  <c r="J7" i="10"/>
  <c r="I8" i="10"/>
  <c r="J8" i="10" s="1"/>
  <c r="I9" i="10"/>
  <c r="J9" i="10"/>
  <c r="I10" i="10"/>
  <c r="J10" i="10" s="1"/>
  <c r="I11" i="10"/>
  <c r="J11" i="10"/>
  <c r="I12" i="10"/>
  <c r="J12" i="10" s="1"/>
  <c r="I13" i="10"/>
  <c r="J13" i="10"/>
  <c r="I14" i="10"/>
  <c r="J14" i="10" s="1"/>
  <c r="I15" i="10"/>
  <c r="J15" i="10"/>
  <c r="I16" i="10"/>
  <c r="J16" i="10" s="1"/>
  <c r="I17" i="10"/>
  <c r="J17" i="10"/>
  <c r="I18" i="10"/>
  <c r="J18" i="10" s="1"/>
  <c r="I19" i="10"/>
  <c r="J19" i="10"/>
  <c r="I20" i="10"/>
  <c r="J20" i="10" s="1"/>
  <c r="I21" i="10"/>
  <c r="J21" i="10"/>
  <c r="I22" i="10"/>
  <c r="J22" i="10" s="1"/>
  <c r="I23" i="10"/>
  <c r="J23" i="10"/>
  <c r="I24" i="10"/>
  <c r="J24" i="10" s="1"/>
  <c r="I25" i="10"/>
  <c r="J25" i="10"/>
  <c r="I26" i="10"/>
  <c r="J26" i="10" s="1"/>
  <c r="I27" i="10"/>
  <c r="J27" i="10"/>
  <c r="I28" i="10"/>
  <c r="J28" i="10" s="1"/>
  <c r="I29" i="10"/>
  <c r="J29" i="10"/>
  <c r="I30" i="10"/>
  <c r="J30" i="10" s="1"/>
  <c r="I31" i="10"/>
  <c r="J31" i="10"/>
  <c r="I32" i="10"/>
  <c r="J32" i="10" s="1"/>
  <c r="I33" i="10"/>
  <c r="J33" i="10"/>
  <c r="I34" i="10"/>
  <c r="J34" i="10" s="1"/>
  <c r="I35" i="10"/>
  <c r="J35" i="10"/>
  <c r="I36" i="10"/>
  <c r="J36" i="10" s="1"/>
  <c r="I37" i="10"/>
  <c r="J37" i="10"/>
  <c r="I38" i="10"/>
  <c r="J38" i="10" s="1"/>
  <c r="I39" i="10"/>
  <c r="J39" i="10"/>
  <c r="I40" i="10"/>
  <c r="J40" i="10" s="1"/>
  <c r="I41" i="10"/>
  <c r="J41" i="10"/>
  <c r="I42" i="10"/>
  <c r="J42" i="10" s="1"/>
  <c r="I43" i="10"/>
  <c r="J43" i="10"/>
  <c r="I44" i="10"/>
  <c r="J44" i="10" s="1"/>
  <c r="I45" i="10"/>
  <c r="J45" i="10"/>
  <c r="I46" i="10"/>
  <c r="J46" i="10" s="1"/>
  <c r="I47" i="10"/>
  <c r="J47" i="10"/>
  <c r="I48" i="10"/>
  <c r="J48" i="10" s="1"/>
  <c r="I49" i="10"/>
  <c r="J49" i="10"/>
  <c r="I50" i="10"/>
  <c r="J50" i="10" s="1"/>
  <c r="I51" i="10"/>
  <c r="J51" i="10"/>
  <c r="I52" i="10"/>
  <c r="J52" i="10" s="1"/>
  <c r="I53" i="10"/>
  <c r="J53" i="10"/>
  <c r="O4" i="10"/>
  <c r="O5" i="10"/>
  <c r="P5" i="10"/>
  <c r="O6" i="10"/>
  <c r="P6" i="10" s="1"/>
  <c r="O7" i="10"/>
  <c r="P7" i="10"/>
  <c r="O8" i="10"/>
  <c r="P8" i="10" s="1"/>
  <c r="O9" i="10"/>
  <c r="P9" i="10"/>
  <c r="O10" i="10"/>
  <c r="P10" i="10" s="1"/>
  <c r="O11" i="10"/>
  <c r="P11" i="10"/>
  <c r="O12" i="10"/>
  <c r="P12" i="10" s="1"/>
  <c r="O13" i="10"/>
  <c r="P13" i="10"/>
  <c r="O14" i="10"/>
  <c r="P14" i="10" s="1"/>
  <c r="O15" i="10"/>
  <c r="P15" i="10"/>
  <c r="O16" i="10"/>
  <c r="P16" i="10" s="1"/>
  <c r="O17" i="10"/>
  <c r="P17" i="10"/>
  <c r="O18" i="10"/>
  <c r="P18" i="10" s="1"/>
  <c r="O19" i="10"/>
  <c r="P19" i="10"/>
  <c r="O20" i="10"/>
  <c r="P20" i="10" s="1"/>
  <c r="O21" i="10"/>
  <c r="P21" i="10"/>
  <c r="O22" i="10"/>
  <c r="P22" i="10" s="1"/>
  <c r="O23" i="10"/>
  <c r="P23" i="10"/>
  <c r="O24" i="10"/>
  <c r="P24" i="10" s="1"/>
  <c r="O25" i="10"/>
  <c r="P25" i="10"/>
  <c r="O26" i="10"/>
  <c r="P26" i="10" s="1"/>
  <c r="O27" i="10"/>
  <c r="P27" i="10"/>
  <c r="O28" i="10"/>
  <c r="P28" i="10" s="1"/>
  <c r="O29" i="10"/>
  <c r="P29" i="10"/>
  <c r="O30" i="10"/>
  <c r="P30" i="10" s="1"/>
  <c r="O31" i="10"/>
  <c r="P31" i="10"/>
  <c r="O32" i="10"/>
  <c r="P32" i="10" s="1"/>
  <c r="O33" i="10"/>
  <c r="P33" i="10"/>
  <c r="O34" i="10"/>
  <c r="P34" i="10" s="1"/>
  <c r="O35" i="10"/>
  <c r="P35" i="10"/>
  <c r="O36" i="10"/>
  <c r="P36" i="10" s="1"/>
  <c r="O37" i="10"/>
  <c r="P37" i="10"/>
  <c r="O38" i="10"/>
  <c r="P38" i="10" s="1"/>
  <c r="O39" i="10"/>
  <c r="P39" i="10"/>
  <c r="O40" i="10"/>
  <c r="P40" i="10" s="1"/>
  <c r="O41" i="10"/>
  <c r="P41" i="10"/>
  <c r="O42" i="10"/>
  <c r="P42" i="10" s="1"/>
  <c r="O43" i="10"/>
  <c r="P43" i="10"/>
  <c r="O44" i="10"/>
  <c r="P44" i="10" s="1"/>
  <c r="O45" i="10"/>
  <c r="P45" i="10"/>
  <c r="O46" i="10"/>
  <c r="P46" i="10" s="1"/>
  <c r="O47" i="10"/>
  <c r="P47" i="10"/>
  <c r="O48" i="10"/>
  <c r="P48" i="10" s="1"/>
  <c r="O49" i="10"/>
  <c r="P49" i="10"/>
  <c r="O50" i="10"/>
  <c r="P50" i="10" s="1"/>
  <c r="O51" i="10"/>
  <c r="P51" i="10"/>
  <c r="O52" i="10"/>
  <c r="P52" i="10" s="1"/>
  <c r="O53" i="10"/>
  <c r="P53" i="10"/>
  <c r="O6" i="2"/>
  <c r="O7" i="2"/>
  <c r="O8" i="2"/>
  <c r="O9" i="2"/>
  <c r="O10" i="2"/>
  <c r="O11" i="2"/>
  <c r="O12" i="2"/>
  <c r="N6" i="2"/>
  <c r="N7" i="2"/>
  <c r="N8" i="2"/>
  <c r="N9" i="2"/>
  <c r="N10" i="2"/>
  <c r="N11" i="2"/>
  <c r="N12" i="2"/>
  <c r="E6" i="2"/>
  <c r="E7" i="2"/>
  <c r="E8" i="2"/>
  <c r="E9" i="2"/>
  <c r="E10" i="2"/>
  <c r="E11" i="2"/>
  <c r="E12" i="2"/>
  <c r="J6" i="2"/>
  <c r="J7" i="2"/>
  <c r="J8" i="2"/>
  <c r="J9" i="2"/>
  <c r="J10" i="2"/>
  <c r="J11" i="2"/>
  <c r="J12" i="2"/>
  <c r="I11" i="2"/>
  <c r="I10" i="2"/>
  <c r="D12" i="2"/>
  <c r="D11" i="2"/>
  <c r="I12" i="2"/>
  <c r="D10" i="2"/>
  <c r="I9" i="2"/>
  <c r="D9" i="2"/>
  <c r="I8" i="2"/>
  <c r="D8" i="2"/>
  <c r="I7" i="2"/>
  <c r="D7" i="2"/>
  <c r="I6" i="2"/>
  <c r="D6" i="2"/>
  <c r="O5" i="2"/>
  <c r="J5" i="2"/>
  <c r="E5" i="2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V5" i="15"/>
  <c r="V6" i="15"/>
  <c r="V7" i="15"/>
  <c r="V8" i="15"/>
  <c r="V9" i="15"/>
  <c r="V10" i="15"/>
  <c r="V11" i="15"/>
  <c r="V4" i="15"/>
  <c r="Q5" i="15"/>
  <c r="Q6" i="15"/>
  <c r="Q7" i="15"/>
  <c r="Q8" i="15"/>
  <c r="Q9" i="15"/>
  <c r="Q10" i="15"/>
  <c r="Q11" i="15"/>
  <c r="Q4" i="15"/>
  <c r="L5" i="15"/>
  <c r="L6" i="15"/>
  <c r="L7" i="15"/>
  <c r="L8" i="15"/>
  <c r="L9" i="15"/>
  <c r="L10" i="15"/>
  <c r="L11" i="15"/>
  <c r="L4" i="15"/>
  <c r="G5" i="15"/>
  <c r="G6" i="15"/>
  <c r="G7" i="15"/>
  <c r="G8" i="15"/>
  <c r="G9" i="15"/>
  <c r="G10" i="15"/>
  <c r="G11" i="15"/>
  <c r="G4" i="15"/>
  <c r="U8" i="15"/>
  <c r="U9" i="15"/>
  <c r="U10" i="15"/>
  <c r="U11" i="15"/>
  <c r="P8" i="15"/>
  <c r="P9" i="15"/>
  <c r="P10" i="15"/>
  <c r="P11" i="15"/>
  <c r="K8" i="15"/>
  <c r="K9" i="15"/>
  <c r="K10" i="15"/>
  <c r="K11" i="15"/>
  <c r="F8" i="15"/>
  <c r="F9" i="15"/>
  <c r="F10" i="15"/>
  <c r="F11" i="15"/>
  <c r="U6" i="15"/>
  <c r="U5" i="15"/>
  <c r="U7" i="15"/>
  <c r="U4" i="15"/>
  <c r="P6" i="15"/>
  <c r="P7" i="15"/>
  <c r="P5" i="15"/>
  <c r="P4" i="15"/>
  <c r="K6" i="15"/>
  <c r="K5" i="15"/>
  <c r="K7" i="15"/>
  <c r="K4" i="15"/>
  <c r="F6" i="15"/>
  <c r="F7" i="15"/>
  <c r="F5" i="15"/>
  <c r="F4" i="15"/>
  <c r="H145" i="8"/>
  <c r="H146" i="8"/>
  <c r="H147" i="8"/>
  <c r="H148" i="8"/>
  <c r="H149" i="8"/>
  <c r="H150" i="8"/>
  <c r="H151" i="8"/>
  <c r="H152" i="8"/>
  <c r="H153" i="8"/>
  <c r="H154" i="8"/>
  <c r="U6" i="9"/>
  <c r="U7" i="9"/>
  <c r="U8" i="9"/>
  <c r="U9" i="9"/>
  <c r="U10" i="9"/>
  <c r="U11" i="9"/>
  <c r="U12" i="9"/>
  <c r="U5" i="9"/>
  <c r="P6" i="9"/>
  <c r="P7" i="9"/>
  <c r="P8" i="9"/>
  <c r="P9" i="9"/>
  <c r="P10" i="9"/>
  <c r="P11" i="9"/>
  <c r="P12" i="9"/>
  <c r="P5" i="9"/>
  <c r="K6" i="9"/>
  <c r="K7" i="9"/>
  <c r="K8" i="9"/>
  <c r="K9" i="9"/>
  <c r="K10" i="9"/>
  <c r="K11" i="9"/>
  <c r="K12" i="9"/>
  <c r="K5" i="9"/>
  <c r="T12" i="9"/>
  <c r="T11" i="9"/>
  <c r="T10" i="9"/>
  <c r="O10" i="9"/>
  <c r="O11" i="9"/>
  <c r="O12" i="9"/>
  <c r="J12" i="9"/>
  <c r="J10" i="9"/>
  <c r="J11" i="9"/>
  <c r="T8" i="9"/>
  <c r="T9" i="9"/>
  <c r="O9" i="9"/>
  <c r="J9" i="9"/>
  <c r="O8" i="9"/>
  <c r="J8" i="9"/>
  <c r="T7" i="9"/>
  <c r="O7" i="9"/>
  <c r="J7" i="9"/>
  <c r="T6" i="9"/>
  <c r="O6" i="9"/>
  <c r="J6" i="9"/>
  <c r="T5" i="9"/>
  <c r="O5" i="9"/>
  <c r="J5" i="9"/>
  <c r="F158" i="8"/>
  <c r="F157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E41" i="21" l="1"/>
  <c r="E19" i="21"/>
  <c r="H19" i="21" s="1"/>
  <c r="G83" i="39"/>
  <c r="G148" i="39"/>
  <c r="G62" i="39"/>
  <c r="G126" i="39"/>
  <c r="G31" i="39"/>
  <c r="G105" i="39"/>
  <c r="G143" i="39"/>
  <c r="G121" i="39"/>
  <c r="G99" i="39"/>
  <c r="G78" i="39"/>
  <c r="G55" i="39"/>
  <c r="G23" i="39"/>
  <c r="G8" i="39"/>
  <c r="G138" i="39"/>
  <c r="G115" i="39"/>
  <c r="G94" i="39"/>
  <c r="G73" i="39"/>
  <c r="G47" i="39"/>
  <c r="G15" i="39"/>
  <c r="G154" i="39"/>
  <c r="G131" i="39"/>
  <c r="G110" i="39"/>
  <c r="G89" i="39"/>
  <c r="G67" i="39"/>
  <c r="G101" i="41"/>
  <c r="E149" i="41"/>
  <c r="E133" i="41"/>
  <c r="E117" i="41"/>
  <c r="E101" i="41"/>
  <c r="E85" i="41"/>
  <c r="E53" i="41"/>
  <c r="E21" i="41"/>
  <c r="G137" i="41"/>
  <c r="G105" i="41"/>
  <c r="G73" i="41"/>
  <c r="G41" i="41"/>
  <c r="D164" i="41"/>
  <c r="E131" i="41"/>
  <c r="E99" i="41"/>
  <c r="E49" i="41"/>
  <c r="G133" i="41"/>
  <c r="G69" i="41"/>
  <c r="E158" i="41"/>
  <c r="E141" i="41"/>
  <c r="E125" i="41"/>
  <c r="E109" i="41"/>
  <c r="E93" i="41"/>
  <c r="E69" i="41"/>
  <c r="E37" i="41"/>
  <c r="G154" i="41"/>
  <c r="G121" i="41"/>
  <c r="G89" i="41"/>
  <c r="G57" i="41"/>
  <c r="G25" i="41"/>
  <c r="F164" i="41"/>
  <c r="F165" i="41" s="1"/>
  <c r="E147" i="41"/>
  <c r="E115" i="41"/>
  <c r="E81" i="41"/>
  <c r="E17" i="41"/>
  <c r="G37" i="41"/>
  <c r="E156" i="41"/>
  <c r="E139" i="41"/>
  <c r="E123" i="41"/>
  <c r="E107" i="41"/>
  <c r="E91" i="41"/>
  <c r="E65" i="41"/>
  <c r="E33" i="41"/>
  <c r="G149" i="41"/>
  <c r="G117" i="41"/>
  <c r="G85" i="41"/>
  <c r="G53" i="41"/>
  <c r="O57" i="10"/>
  <c r="O56" i="10"/>
  <c r="O54" i="10"/>
  <c r="O55" i="10"/>
  <c r="I57" i="10"/>
  <c r="I54" i="10"/>
  <c r="I56" i="10"/>
  <c r="I55" i="10"/>
  <c r="J4" i="10"/>
  <c r="H160" i="8"/>
  <c r="H159" i="8"/>
  <c r="H158" i="8"/>
  <c r="H157" i="8"/>
  <c r="H156" i="8"/>
  <c r="P4" i="10"/>
  <c r="D57" i="10"/>
  <c r="D55" i="10"/>
  <c r="R57" i="10"/>
  <c r="D54" i="10"/>
  <c r="D56" i="10"/>
  <c r="L60" i="12"/>
  <c r="L59" i="12"/>
  <c r="L58" i="12"/>
  <c r="L57" i="12"/>
  <c r="M7" i="12"/>
  <c r="H32" i="21"/>
  <c r="F32" i="21"/>
  <c r="G32" i="21" s="1"/>
  <c r="H41" i="21"/>
  <c r="F41" i="21"/>
  <c r="G41" i="21" s="1"/>
  <c r="H39" i="21"/>
  <c r="F39" i="21"/>
  <c r="G39" i="21" s="1"/>
  <c r="H49" i="21"/>
  <c r="F49" i="21"/>
  <c r="G49" i="21" s="1"/>
  <c r="H46" i="21"/>
  <c r="F46" i="21"/>
  <c r="G46" i="21" s="1"/>
  <c r="H11" i="21"/>
  <c r="F11" i="21"/>
  <c r="G11" i="21" s="1"/>
  <c r="H15" i="21"/>
  <c r="F15" i="21"/>
  <c r="G15" i="21" s="1"/>
  <c r="C30" i="21"/>
  <c r="E26" i="21"/>
  <c r="E21" i="21"/>
  <c r="E6" i="21"/>
  <c r="E50" i="21"/>
  <c r="E44" i="21"/>
  <c r="E53" i="21"/>
  <c r="E40" i="21"/>
  <c r="C40" i="21"/>
  <c r="E38" i="21"/>
  <c r="C38" i="21"/>
  <c r="C35" i="21"/>
  <c r="C6" i="21"/>
  <c r="C29" i="21"/>
  <c r="E7" i="21"/>
  <c r="C31" i="21"/>
  <c r="E47" i="21"/>
  <c r="E52" i="21"/>
  <c r="C42" i="21"/>
  <c r="E35" i="21"/>
  <c r="C13" i="21"/>
  <c r="E28" i="21"/>
  <c r="E10" i="21"/>
  <c r="C23" i="21"/>
  <c r="E24" i="21"/>
  <c r="D56" i="22"/>
  <c r="D55" i="22"/>
  <c r="E5" i="22"/>
  <c r="H7" i="22"/>
  <c r="F7" i="22"/>
  <c r="G7" i="22" s="1"/>
  <c r="H9" i="22"/>
  <c r="F9" i="22"/>
  <c r="G9" i="22" s="1"/>
  <c r="H11" i="22"/>
  <c r="F11" i="22"/>
  <c r="G11" i="22" s="1"/>
  <c r="J15" i="9"/>
  <c r="J16" i="9" s="1"/>
  <c r="T15" i="9"/>
  <c r="T16" i="9" s="1"/>
  <c r="K14" i="15"/>
  <c r="K15" i="15" s="1"/>
  <c r="U14" i="15"/>
  <c r="U15" i="15" s="1"/>
  <c r="P60" i="14"/>
  <c r="P59" i="14"/>
  <c r="P58" i="14"/>
  <c r="P57" i="14"/>
  <c r="K60" i="14"/>
  <c r="K59" i="14"/>
  <c r="K58" i="14"/>
  <c r="K57" i="14"/>
  <c r="F60" i="14"/>
  <c r="R60" i="14"/>
  <c r="F57" i="14"/>
  <c r="F59" i="14"/>
  <c r="F58" i="14"/>
  <c r="C57" i="10"/>
  <c r="C55" i="10"/>
  <c r="C56" i="10"/>
  <c r="C54" i="10"/>
  <c r="D57" i="18"/>
  <c r="D55" i="18"/>
  <c r="D54" i="18"/>
  <c r="D56" i="18"/>
  <c r="E4" i="18"/>
  <c r="C60" i="12"/>
  <c r="C59" i="12"/>
  <c r="C58" i="12"/>
  <c r="C57" i="12"/>
  <c r="D7" i="12"/>
  <c r="C22" i="21"/>
  <c r="C39" i="21"/>
  <c r="C37" i="21"/>
  <c r="E45" i="21"/>
  <c r="E43" i="21"/>
  <c r="E9" i="21"/>
  <c r="E14" i="21"/>
  <c r="E29" i="21"/>
  <c r="E36" i="21"/>
  <c r="F160" i="8"/>
  <c r="F159" i="8"/>
  <c r="F156" i="8"/>
  <c r="O60" i="14"/>
  <c r="O58" i="14"/>
  <c r="O57" i="14"/>
  <c r="O59" i="14"/>
  <c r="J60" i="14"/>
  <c r="J59" i="14"/>
  <c r="J58" i="14"/>
  <c r="J57" i="14"/>
  <c r="E60" i="14"/>
  <c r="E59" i="14"/>
  <c r="E58" i="14"/>
  <c r="E57" i="14"/>
  <c r="E37" i="21"/>
  <c r="E4" i="21"/>
  <c r="E34" i="21"/>
  <c r="E51" i="21"/>
  <c r="D55" i="21"/>
  <c r="D54" i="21"/>
  <c r="E13" i="21"/>
  <c r="E16" i="21"/>
  <c r="E18" i="21"/>
  <c r="E23" i="21"/>
  <c r="E30" i="21"/>
  <c r="E33" i="21"/>
  <c r="E42" i="21"/>
  <c r="E15" i="9"/>
  <c r="E16" i="9" s="1"/>
  <c r="O15" i="9"/>
  <c r="O16" i="9" s="1"/>
  <c r="F14" i="15"/>
  <c r="F15" i="15" s="1"/>
  <c r="P14" i="15"/>
  <c r="P15" i="15" s="1"/>
  <c r="G60" i="12"/>
  <c r="G58" i="12"/>
  <c r="G57" i="12"/>
  <c r="G59" i="12"/>
  <c r="H7" i="12"/>
  <c r="E20" i="21"/>
  <c r="C25" i="21"/>
  <c r="E25" i="21"/>
  <c r="C41" i="21"/>
  <c r="E48" i="21"/>
  <c r="F5" i="21"/>
  <c r="G5" i="21" s="1"/>
  <c r="E8" i="21"/>
  <c r="E12" i="21"/>
  <c r="F17" i="21"/>
  <c r="G17" i="21" s="1"/>
  <c r="E22" i="21"/>
  <c r="E27" i="21"/>
  <c r="E31" i="21"/>
  <c r="H13" i="22"/>
  <c r="F13" i="22"/>
  <c r="G13" i="22" s="1"/>
  <c r="H14" i="22"/>
  <c r="F14" i="22"/>
  <c r="G14" i="22" s="1"/>
  <c r="D57" i="13"/>
  <c r="E57" i="13"/>
  <c r="H25" i="22"/>
  <c r="F25" i="22"/>
  <c r="G25" i="22" s="1"/>
  <c r="H41" i="22"/>
  <c r="F41" i="22"/>
  <c r="G41" i="22" s="1"/>
  <c r="E6" i="20"/>
  <c r="E8" i="20"/>
  <c r="E10" i="20"/>
  <c r="E12" i="20"/>
  <c r="E14" i="20"/>
  <c r="E16" i="20"/>
  <c r="E18" i="20"/>
  <c r="E20" i="20"/>
  <c r="E22" i="20"/>
  <c r="E24" i="20"/>
  <c r="E26" i="20"/>
  <c r="E28" i="20"/>
  <c r="E30" i="20"/>
  <c r="E32" i="20"/>
  <c r="E34" i="20"/>
  <c r="E36" i="20"/>
  <c r="E38" i="20"/>
  <c r="E40" i="20"/>
  <c r="E42" i="20"/>
  <c r="E44" i="20"/>
  <c r="E46" i="20"/>
  <c r="E48" i="20"/>
  <c r="E50" i="20"/>
  <c r="E52" i="20"/>
  <c r="E54" i="20"/>
  <c r="E5" i="20"/>
  <c r="E7" i="20"/>
  <c r="E9" i="20"/>
  <c r="E11" i="20"/>
  <c r="E13" i="20"/>
  <c r="E15" i="20"/>
  <c r="E17" i="20"/>
  <c r="E19" i="20"/>
  <c r="E21" i="20"/>
  <c r="E23" i="20"/>
  <c r="E25" i="20"/>
  <c r="E27" i="20"/>
  <c r="E29" i="20"/>
  <c r="E31" i="20"/>
  <c r="E33" i="20"/>
  <c r="E35" i="20"/>
  <c r="E37" i="20"/>
  <c r="E39" i="20"/>
  <c r="E41" i="20"/>
  <c r="E43" i="20"/>
  <c r="E45" i="20"/>
  <c r="E47" i="20"/>
  <c r="E49" i="20"/>
  <c r="E51" i="20"/>
  <c r="E53" i="20"/>
  <c r="F20" i="22"/>
  <c r="G20" i="22" s="1"/>
  <c r="H29" i="22"/>
  <c r="F29" i="22"/>
  <c r="G29" i="22" s="1"/>
  <c r="F36" i="22"/>
  <c r="G36" i="22" s="1"/>
  <c r="H45" i="22"/>
  <c r="F45" i="22"/>
  <c r="G45" i="22" s="1"/>
  <c r="F52" i="22"/>
  <c r="G52" i="22" s="1"/>
  <c r="I58" i="13"/>
  <c r="I57" i="13"/>
  <c r="I56" i="13"/>
  <c r="I55" i="13"/>
  <c r="N58" i="13"/>
  <c r="N57" i="13"/>
  <c r="N56" i="13"/>
  <c r="N55" i="13"/>
  <c r="H17" i="22"/>
  <c r="F17" i="22"/>
  <c r="G17" i="22" s="1"/>
  <c r="H33" i="22"/>
  <c r="F33" i="22"/>
  <c r="G33" i="22" s="1"/>
  <c r="H49" i="22"/>
  <c r="F49" i="22"/>
  <c r="G49" i="22" s="1"/>
  <c r="H58" i="13"/>
  <c r="H57" i="13"/>
  <c r="H56" i="13"/>
  <c r="H55" i="13"/>
  <c r="H21" i="22"/>
  <c r="F21" i="22"/>
  <c r="G21" i="22" s="1"/>
  <c r="F28" i="22"/>
  <c r="G28" i="22" s="1"/>
  <c r="H37" i="22"/>
  <c r="F37" i="22"/>
  <c r="G37" i="22" s="1"/>
  <c r="F44" i="22"/>
  <c r="G44" i="22" s="1"/>
  <c r="H53" i="22"/>
  <c r="F53" i="22"/>
  <c r="G53" i="22" s="1"/>
  <c r="D55" i="13"/>
  <c r="E56" i="13"/>
  <c r="G155" i="39"/>
  <c r="G12" i="39"/>
  <c r="G16" i="39"/>
  <c r="G20" i="39"/>
  <c r="G24" i="39"/>
  <c r="G28" i="39"/>
  <c r="G32" i="39"/>
  <c r="G36" i="39"/>
  <c r="G40" i="39"/>
  <c r="G44" i="39"/>
  <c r="G48" i="39"/>
  <c r="G52" i="39"/>
  <c r="G56" i="39"/>
  <c r="G60" i="39"/>
  <c r="G64" i="39"/>
  <c r="G68" i="39"/>
  <c r="G72" i="39"/>
  <c r="G76" i="39"/>
  <c r="G80" i="39"/>
  <c r="G84" i="39"/>
  <c r="G88" i="39"/>
  <c r="G92" i="39"/>
  <c r="G96" i="39"/>
  <c r="G100" i="39"/>
  <c r="G104" i="39"/>
  <c r="G108" i="39"/>
  <c r="G112" i="39"/>
  <c r="G116" i="39"/>
  <c r="G120" i="39"/>
  <c r="G124" i="39"/>
  <c r="G128" i="39"/>
  <c r="G132" i="39"/>
  <c r="G137" i="39"/>
  <c r="G141" i="39"/>
  <c r="G145" i="39"/>
  <c r="G149" i="39"/>
  <c r="G153" i="39"/>
  <c r="G9" i="39"/>
  <c r="G14" i="39"/>
  <c r="G18" i="39"/>
  <c r="G22" i="39"/>
  <c r="G26" i="39"/>
  <c r="G30" i="39"/>
  <c r="G34" i="39"/>
  <c r="G38" i="39"/>
  <c r="G42" i="39"/>
  <c r="G46" i="39"/>
  <c r="G50" i="39"/>
  <c r="G54" i="39"/>
  <c r="G58" i="39"/>
  <c r="G156" i="39"/>
  <c r="G150" i="39"/>
  <c r="G144" i="39"/>
  <c r="G139" i="39"/>
  <c r="G134" i="39"/>
  <c r="G127" i="39"/>
  <c r="G122" i="39"/>
  <c r="G117" i="39"/>
  <c r="G111" i="39"/>
  <c r="G106" i="39"/>
  <c r="G101" i="39"/>
  <c r="G95" i="39"/>
  <c r="G90" i="39"/>
  <c r="G85" i="39"/>
  <c r="G79" i="39"/>
  <c r="G74" i="39"/>
  <c r="G69" i="39"/>
  <c r="G63" i="39"/>
  <c r="G57" i="39"/>
  <c r="G49" i="39"/>
  <c r="G41" i="39"/>
  <c r="G33" i="39"/>
  <c r="G25" i="39"/>
  <c r="G17" i="39"/>
  <c r="D56" i="13"/>
  <c r="E163" i="39"/>
  <c r="E160" i="39"/>
  <c r="E161" i="39"/>
  <c r="E162" i="39"/>
  <c r="E159" i="39"/>
  <c r="D58" i="13"/>
  <c r="E58" i="13"/>
  <c r="P58" i="13"/>
  <c r="E55" i="13"/>
  <c r="P56" i="13" s="1"/>
  <c r="M58" i="13"/>
  <c r="M56" i="13"/>
  <c r="M55" i="13"/>
  <c r="M57" i="13"/>
  <c r="G10" i="39"/>
  <c r="G152" i="39"/>
  <c r="G147" i="39"/>
  <c r="G142" i="39"/>
  <c r="G136" i="39"/>
  <c r="G130" i="39"/>
  <c r="G125" i="39"/>
  <c r="G119" i="39"/>
  <c r="G114" i="39"/>
  <c r="G109" i="39"/>
  <c r="G103" i="39"/>
  <c r="G98" i="39"/>
  <c r="G93" i="39"/>
  <c r="G87" i="39"/>
  <c r="G82" i="39"/>
  <c r="G77" i="39"/>
  <c r="G71" i="39"/>
  <c r="G66" i="39"/>
  <c r="G61" i="39"/>
  <c r="G53" i="39"/>
  <c r="G45" i="39"/>
  <c r="G37" i="39"/>
  <c r="G29" i="39"/>
  <c r="G21" i="39"/>
  <c r="G13" i="39"/>
  <c r="G133" i="39"/>
  <c r="E150" i="41"/>
  <c r="G14" i="41"/>
  <c r="G18" i="41"/>
  <c r="G22" i="41"/>
  <c r="G26" i="41"/>
  <c r="G30" i="41"/>
  <c r="G34" i="41"/>
  <c r="G38" i="41"/>
  <c r="G42" i="41"/>
  <c r="G46" i="41"/>
  <c r="G50" i="41"/>
  <c r="G54" i="41"/>
  <c r="G58" i="41"/>
  <c r="G62" i="41"/>
  <c r="G66" i="41"/>
  <c r="G70" i="41"/>
  <c r="G74" i="41"/>
  <c r="G78" i="41"/>
  <c r="G82" i="41"/>
  <c r="G86" i="41"/>
  <c r="G90" i="41"/>
  <c r="G94" i="41"/>
  <c r="G98" i="41"/>
  <c r="G102" i="41"/>
  <c r="G106" i="41"/>
  <c r="G110" i="41"/>
  <c r="G114" i="41"/>
  <c r="G118" i="41"/>
  <c r="G122" i="41"/>
  <c r="G126" i="41"/>
  <c r="G130" i="41"/>
  <c r="G134" i="41"/>
  <c r="G138" i="41"/>
  <c r="G142" i="41"/>
  <c r="G146" i="41"/>
  <c r="G151" i="41"/>
  <c r="G155" i="41"/>
  <c r="G160" i="41"/>
  <c r="E14" i="41"/>
  <c r="E18" i="41"/>
  <c r="E22" i="41"/>
  <c r="E26" i="41"/>
  <c r="E30" i="41"/>
  <c r="E34" i="41"/>
  <c r="E38" i="41"/>
  <c r="E42" i="41"/>
  <c r="E46" i="41"/>
  <c r="E50" i="41"/>
  <c r="E54" i="41"/>
  <c r="E58" i="41"/>
  <c r="E62" i="41"/>
  <c r="E66" i="41"/>
  <c r="E70" i="41"/>
  <c r="E74" i="41"/>
  <c r="E78" i="41"/>
  <c r="E82" i="41"/>
  <c r="E86" i="41"/>
  <c r="E90" i="41"/>
  <c r="E94" i="41"/>
  <c r="E98" i="41"/>
  <c r="E102" i="41"/>
  <c r="E106" i="41"/>
  <c r="E110" i="41"/>
  <c r="E114" i="41"/>
  <c r="E118" i="41"/>
  <c r="E122" i="41"/>
  <c r="E126" i="41"/>
  <c r="E130" i="41"/>
  <c r="E134" i="41"/>
  <c r="E138" i="41"/>
  <c r="E142" i="41"/>
  <c r="E146" i="41"/>
  <c r="E151" i="41"/>
  <c r="E155" i="41"/>
  <c r="E160" i="41"/>
  <c r="G159" i="41"/>
  <c r="G15" i="41"/>
  <c r="G19" i="41"/>
  <c r="G23" i="41"/>
  <c r="G27" i="41"/>
  <c r="G31" i="41"/>
  <c r="G35" i="41"/>
  <c r="G39" i="41"/>
  <c r="G43" i="41"/>
  <c r="G47" i="41"/>
  <c r="G51" i="41"/>
  <c r="G55" i="41"/>
  <c r="G59" i="41"/>
  <c r="G63" i="41"/>
  <c r="G67" i="41"/>
  <c r="G71" i="41"/>
  <c r="G75" i="41"/>
  <c r="G79" i="41"/>
  <c r="G83" i="41"/>
  <c r="G87" i="41"/>
  <c r="G91" i="41"/>
  <c r="G95" i="41"/>
  <c r="G99" i="41"/>
  <c r="G103" i="41"/>
  <c r="G107" i="41"/>
  <c r="G111" i="41"/>
  <c r="G115" i="41"/>
  <c r="G119" i="41"/>
  <c r="G123" i="41"/>
  <c r="G127" i="41"/>
  <c r="G131" i="41"/>
  <c r="G135" i="41"/>
  <c r="G139" i="41"/>
  <c r="G143" i="41"/>
  <c r="G147" i="41"/>
  <c r="G152" i="41"/>
  <c r="G156" i="41"/>
  <c r="G161" i="41"/>
  <c r="E15" i="41"/>
  <c r="E19" i="41"/>
  <c r="E23" i="41"/>
  <c r="E27" i="41"/>
  <c r="E31" i="41"/>
  <c r="E35" i="41"/>
  <c r="E39" i="41"/>
  <c r="E43" i="41"/>
  <c r="E47" i="41"/>
  <c r="E51" i="41"/>
  <c r="E55" i="41"/>
  <c r="E59" i="41"/>
  <c r="E63" i="41"/>
  <c r="E67" i="41"/>
  <c r="E71" i="41"/>
  <c r="E75" i="41"/>
  <c r="E79" i="41"/>
  <c r="E83" i="41"/>
  <c r="G150" i="41"/>
  <c r="G16" i="41"/>
  <c r="G20" i="41"/>
  <c r="G24" i="41"/>
  <c r="G28" i="41"/>
  <c r="G32" i="41"/>
  <c r="G36" i="41"/>
  <c r="G40" i="41"/>
  <c r="G44" i="41"/>
  <c r="G48" i="41"/>
  <c r="G52" i="41"/>
  <c r="G56" i="41"/>
  <c r="G60" i="41"/>
  <c r="G64" i="41"/>
  <c r="G68" i="41"/>
  <c r="G72" i="41"/>
  <c r="G76" i="41"/>
  <c r="G80" i="41"/>
  <c r="G84" i="41"/>
  <c r="G88" i="41"/>
  <c r="G92" i="41"/>
  <c r="G96" i="41"/>
  <c r="G100" i="41"/>
  <c r="G104" i="41"/>
  <c r="G108" i="41"/>
  <c r="G112" i="41"/>
  <c r="G116" i="41"/>
  <c r="G120" i="41"/>
  <c r="G124" i="41"/>
  <c r="G128" i="41"/>
  <c r="G132" i="41"/>
  <c r="G136" i="41"/>
  <c r="G140" i="41"/>
  <c r="G144" i="41"/>
  <c r="G148" i="41"/>
  <c r="G153" i="41"/>
  <c r="G157" i="41"/>
  <c r="G12" i="41"/>
  <c r="E16" i="41"/>
  <c r="E20" i="41"/>
  <c r="E24" i="41"/>
  <c r="E28" i="41"/>
  <c r="E32" i="41"/>
  <c r="E36" i="41"/>
  <c r="E40" i="41"/>
  <c r="E44" i="41"/>
  <c r="E48" i="41"/>
  <c r="E52" i="41"/>
  <c r="E56" i="41"/>
  <c r="E60" i="41"/>
  <c r="E64" i="41"/>
  <c r="E68" i="41"/>
  <c r="E72" i="41"/>
  <c r="E76" i="41"/>
  <c r="E80" i="41"/>
  <c r="E84" i="41"/>
  <c r="E88" i="41"/>
  <c r="E92" i="41"/>
  <c r="E96" i="41"/>
  <c r="E100" i="41"/>
  <c r="E104" i="41"/>
  <c r="E108" i="41"/>
  <c r="E112" i="41"/>
  <c r="E116" i="41"/>
  <c r="E120" i="41"/>
  <c r="E124" i="41"/>
  <c r="E128" i="41"/>
  <c r="E132" i="41"/>
  <c r="E136" i="41"/>
  <c r="E140" i="41"/>
  <c r="E144" i="41"/>
  <c r="E148" i="41"/>
  <c r="E153" i="41"/>
  <c r="E157" i="41"/>
  <c r="E12" i="41"/>
  <c r="E159" i="41"/>
  <c r="E154" i="41"/>
  <c r="E145" i="41"/>
  <c r="E137" i="41"/>
  <c r="E129" i="41"/>
  <c r="E121" i="41"/>
  <c r="E113" i="41"/>
  <c r="E105" i="41"/>
  <c r="E97" i="41"/>
  <c r="E89" i="41"/>
  <c r="E77" i="41"/>
  <c r="E61" i="41"/>
  <c r="E45" i="41"/>
  <c r="E29" i="41"/>
  <c r="E13" i="41"/>
  <c r="G145" i="41"/>
  <c r="G129" i="41"/>
  <c r="G113" i="41"/>
  <c r="G97" i="41"/>
  <c r="G81" i="41"/>
  <c r="G65" i="41"/>
  <c r="G49" i="41"/>
  <c r="G33" i="41"/>
  <c r="G17" i="41"/>
  <c r="G157" i="39"/>
  <c r="G151" i="39"/>
  <c r="G146" i="39"/>
  <c r="G140" i="39"/>
  <c r="G135" i="39"/>
  <c r="G129" i="39"/>
  <c r="G123" i="39"/>
  <c r="G118" i="39"/>
  <c r="G113" i="39"/>
  <c r="G107" i="39"/>
  <c r="G102" i="39"/>
  <c r="G97" i="39"/>
  <c r="G91" i="39"/>
  <c r="G86" i="39"/>
  <c r="G81" i="39"/>
  <c r="G75" i="39"/>
  <c r="G70" i="39"/>
  <c r="G65" i="39"/>
  <c r="G59" i="39"/>
  <c r="G51" i="39"/>
  <c r="G43" i="39"/>
  <c r="G35" i="39"/>
  <c r="G27" i="39"/>
  <c r="G19" i="39"/>
  <c r="G11" i="39"/>
  <c r="E161" i="41"/>
  <c r="E152" i="41"/>
  <c r="E143" i="41"/>
  <c r="E135" i="41"/>
  <c r="E127" i="41"/>
  <c r="E119" i="41"/>
  <c r="E111" i="41"/>
  <c r="E103" i="41"/>
  <c r="E95" i="41"/>
  <c r="E87" i="41"/>
  <c r="E73" i="41"/>
  <c r="E57" i="41"/>
  <c r="E41" i="41"/>
  <c r="E25" i="41"/>
  <c r="G158" i="41"/>
  <c r="G141" i="41"/>
  <c r="G125" i="41"/>
  <c r="G109" i="41"/>
  <c r="G93" i="41"/>
  <c r="G77" i="41"/>
  <c r="G61" i="41"/>
  <c r="G45" i="41"/>
  <c r="G29" i="41"/>
  <c r="G13" i="41"/>
  <c r="D165" i="41"/>
  <c r="G9" i="6"/>
  <c r="G13" i="6"/>
  <c r="G17" i="6"/>
  <c r="G10" i="6"/>
  <c r="G14" i="6"/>
  <c r="G18" i="6"/>
  <c r="E156" i="6"/>
  <c r="E152" i="6"/>
  <c r="E148" i="6"/>
  <c r="E144" i="6"/>
  <c r="E140" i="6"/>
  <c r="E136" i="6"/>
  <c r="E132" i="6"/>
  <c r="E128" i="6"/>
  <c r="E124" i="6"/>
  <c r="E120" i="6"/>
  <c r="E116" i="6"/>
  <c r="E112" i="6"/>
  <c r="E108" i="6"/>
  <c r="E104" i="6"/>
  <c r="E100" i="6"/>
  <c r="E96" i="6"/>
  <c r="E92" i="6"/>
  <c r="E88" i="6"/>
  <c r="E84" i="6"/>
  <c r="E80" i="6"/>
  <c r="E76" i="6"/>
  <c r="E72" i="6"/>
  <c r="E68" i="6"/>
  <c r="E64" i="6"/>
  <c r="E60" i="6"/>
  <c r="E56" i="6"/>
  <c r="E52" i="6"/>
  <c r="E48" i="6"/>
  <c r="E44" i="6"/>
  <c r="E40" i="6"/>
  <c r="E36" i="6"/>
  <c r="E32" i="6"/>
  <c r="E28" i="6"/>
  <c r="E24" i="6"/>
  <c r="E20" i="6"/>
  <c r="E16" i="6"/>
  <c r="E12" i="6"/>
  <c r="E8" i="6"/>
  <c r="G155" i="6"/>
  <c r="G151" i="6"/>
  <c r="G147" i="6"/>
  <c r="G143" i="6"/>
  <c r="G139" i="6"/>
  <c r="G135" i="6"/>
  <c r="G131" i="6"/>
  <c r="G127" i="6"/>
  <c r="G123" i="6"/>
  <c r="G119" i="6"/>
  <c r="G115" i="6"/>
  <c r="G111" i="6"/>
  <c r="G107" i="6"/>
  <c r="G103" i="6"/>
  <c r="G99" i="6"/>
  <c r="G95" i="6"/>
  <c r="G91" i="6"/>
  <c r="G87" i="6"/>
  <c r="G83" i="6"/>
  <c r="G79" i="6"/>
  <c r="G75" i="6"/>
  <c r="G71" i="6"/>
  <c r="G67" i="6"/>
  <c r="G63" i="6"/>
  <c r="G59" i="6"/>
  <c r="G55" i="6"/>
  <c r="G51" i="6"/>
  <c r="G47" i="6"/>
  <c r="G43" i="6"/>
  <c r="G39" i="6"/>
  <c r="G35" i="6"/>
  <c r="G31" i="6"/>
  <c r="G27" i="6"/>
  <c r="G23" i="6"/>
  <c r="G19" i="6"/>
  <c r="G11" i="6"/>
  <c r="E155" i="6"/>
  <c r="E151" i="6"/>
  <c r="E147" i="6"/>
  <c r="E143" i="6"/>
  <c r="E139" i="6"/>
  <c r="E135" i="6"/>
  <c r="E131" i="6"/>
  <c r="E127" i="6"/>
  <c r="E123" i="6"/>
  <c r="E119" i="6"/>
  <c r="E115" i="6"/>
  <c r="E111" i="6"/>
  <c r="E107" i="6"/>
  <c r="E103" i="6"/>
  <c r="E99" i="6"/>
  <c r="E95" i="6"/>
  <c r="E91" i="6"/>
  <c r="E87" i="6"/>
  <c r="E83" i="6"/>
  <c r="E79" i="6"/>
  <c r="E75" i="6"/>
  <c r="E71" i="6"/>
  <c r="E67" i="6"/>
  <c r="E63" i="6"/>
  <c r="E59" i="6"/>
  <c r="E55" i="6"/>
  <c r="E51" i="6"/>
  <c r="E47" i="6"/>
  <c r="E43" i="6"/>
  <c r="E39" i="6"/>
  <c r="E35" i="6"/>
  <c r="E31" i="6"/>
  <c r="E27" i="6"/>
  <c r="E23" i="6"/>
  <c r="E19" i="6"/>
  <c r="E15" i="6"/>
  <c r="E11" i="6"/>
  <c r="E7" i="6"/>
  <c r="G154" i="6"/>
  <c r="G150" i="6"/>
  <c r="G146" i="6"/>
  <c r="G142" i="6"/>
  <c r="G138" i="6"/>
  <c r="G134" i="6"/>
  <c r="G130" i="6"/>
  <c r="G126" i="6"/>
  <c r="G122" i="6"/>
  <c r="G118" i="6"/>
  <c r="G114" i="6"/>
  <c r="G110" i="6"/>
  <c r="G106" i="6"/>
  <c r="G102" i="6"/>
  <c r="G98" i="6"/>
  <c r="G94" i="6"/>
  <c r="G90" i="6"/>
  <c r="G86" i="6"/>
  <c r="G82" i="6"/>
  <c r="G78" i="6"/>
  <c r="G74" i="6"/>
  <c r="G70" i="6"/>
  <c r="G66" i="6"/>
  <c r="G62" i="6"/>
  <c r="G58" i="6"/>
  <c r="G54" i="6"/>
  <c r="G50" i="6"/>
  <c r="G46" i="6"/>
  <c r="G42" i="6"/>
  <c r="G38" i="6"/>
  <c r="G34" i="6"/>
  <c r="G30" i="6"/>
  <c r="G26" i="6"/>
  <c r="G22" i="6"/>
  <c r="G16" i="6"/>
  <c r="G8" i="6"/>
  <c r="F19" i="21" l="1"/>
  <c r="G19" i="21" s="1"/>
  <c r="C55" i="21"/>
  <c r="G161" i="39"/>
  <c r="G162" i="39"/>
  <c r="G159" i="39"/>
  <c r="G160" i="39"/>
  <c r="G163" i="39"/>
  <c r="H51" i="20"/>
  <c r="F51" i="20"/>
  <c r="G51" i="20" s="1"/>
  <c r="H35" i="20"/>
  <c r="F35" i="20"/>
  <c r="G35" i="20" s="1"/>
  <c r="H19" i="20"/>
  <c r="F19" i="20"/>
  <c r="G19" i="20" s="1"/>
  <c r="H54" i="20"/>
  <c r="F54" i="20"/>
  <c r="G54" i="20" s="1"/>
  <c r="H46" i="20"/>
  <c r="F46" i="20"/>
  <c r="G46" i="20" s="1"/>
  <c r="H38" i="20"/>
  <c r="F38" i="20"/>
  <c r="G38" i="20" s="1"/>
  <c r="H30" i="20"/>
  <c r="F30" i="20"/>
  <c r="G30" i="20" s="1"/>
  <c r="H22" i="20"/>
  <c r="F22" i="20"/>
  <c r="G22" i="20" s="1"/>
  <c r="H14" i="20"/>
  <c r="F14" i="20"/>
  <c r="G14" i="20" s="1"/>
  <c r="H6" i="20"/>
  <c r="F6" i="20"/>
  <c r="G6" i="20" s="1"/>
  <c r="H30" i="21"/>
  <c r="F30" i="21"/>
  <c r="G30" i="21" s="1"/>
  <c r="H34" i="21"/>
  <c r="F34" i="21"/>
  <c r="G34" i="21" s="1"/>
  <c r="G166" i="41"/>
  <c r="G163" i="41"/>
  <c r="G162" i="41"/>
  <c r="G164" i="41" s="1"/>
  <c r="H47" i="20"/>
  <c r="F47" i="20"/>
  <c r="G47" i="20" s="1"/>
  <c r="H39" i="20"/>
  <c r="F39" i="20"/>
  <c r="G39" i="20" s="1"/>
  <c r="H31" i="20"/>
  <c r="F31" i="20"/>
  <c r="G31" i="20" s="1"/>
  <c r="H23" i="20"/>
  <c r="F23" i="20"/>
  <c r="G23" i="20" s="1"/>
  <c r="H15" i="20"/>
  <c r="F15" i="20"/>
  <c r="G15" i="20" s="1"/>
  <c r="H7" i="20"/>
  <c r="F7" i="20"/>
  <c r="G7" i="20" s="1"/>
  <c r="H50" i="20"/>
  <c r="F50" i="20"/>
  <c r="G50" i="20" s="1"/>
  <c r="H42" i="20"/>
  <c r="F42" i="20"/>
  <c r="G42" i="20" s="1"/>
  <c r="H34" i="20"/>
  <c r="F34" i="20"/>
  <c r="G34" i="20" s="1"/>
  <c r="H26" i="20"/>
  <c r="F26" i="20"/>
  <c r="G26" i="20" s="1"/>
  <c r="H18" i="20"/>
  <c r="F18" i="20"/>
  <c r="G18" i="20" s="1"/>
  <c r="H10" i="20"/>
  <c r="F10" i="20"/>
  <c r="G10" i="20" s="1"/>
  <c r="H42" i="21"/>
  <c r="F42" i="21"/>
  <c r="G42" i="21" s="1"/>
  <c r="H18" i="21"/>
  <c r="F18" i="21"/>
  <c r="G18" i="21" s="1"/>
  <c r="H37" i="21"/>
  <c r="F37" i="21"/>
  <c r="G37" i="21" s="1"/>
  <c r="H29" i="21"/>
  <c r="F29" i="21"/>
  <c r="G29" i="21" s="1"/>
  <c r="H45" i="21"/>
  <c r="F45" i="21"/>
  <c r="G45" i="21" s="1"/>
  <c r="D60" i="12"/>
  <c r="O60" i="12"/>
  <c r="D59" i="12"/>
  <c r="D58" i="12"/>
  <c r="D57" i="12"/>
  <c r="R58" i="14"/>
  <c r="H10" i="21"/>
  <c r="F10" i="21"/>
  <c r="G10" i="21" s="1"/>
  <c r="H7" i="21"/>
  <c r="F7" i="21"/>
  <c r="G7" i="21" s="1"/>
  <c r="H53" i="21"/>
  <c r="F53" i="21"/>
  <c r="G53" i="21" s="1"/>
  <c r="H21" i="21"/>
  <c r="F21" i="21"/>
  <c r="G21" i="21" s="1"/>
  <c r="J57" i="10"/>
  <c r="J56" i="10"/>
  <c r="J54" i="10"/>
  <c r="J55" i="10"/>
  <c r="E166" i="41"/>
  <c r="E162" i="41"/>
  <c r="E164" i="41" s="1"/>
  <c r="E163" i="41"/>
  <c r="H27" i="21"/>
  <c r="F27" i="21"/>
  <c r="G27" i="21" s="1"/>
  <c r="H60" i="12"/>
  <c r="H57" i="12"/>
  <c r="H59" i="12"/>
  <c r="H58" i="12"/>
  <c r="H53" i="20"/>
  <c r="F53" i="20"/>
  <c r="G53" i="20" s="1"/>
  <c r="H45" i="20"/>
  <c r="F45" i="20"/>
  <c r="G45" i="20" s="1"/>
  <c r="H37" i="20"/>
  <c r="F37" i="20"/>
  <c r="G37" i="20" s="1"/>
  <c r="H29" i="20"/>
  <c r="F29" i="20"/>
  <c r="G29" i="20" s="1"/>
  <c r="H21" i="20"/>
  <c r="F21" i="20"/>
  <c r="G21" i="20" s="1"/>
  <c r="H13" i="20"/>
  <c r="F13" i="20"/>
  <c r="G13" i="20" s="1"/>
  <c r="E55" i="20"/>
  <c r="E56" i="20"/>
  <c r="H5" i="20"/>
  <c r="F5" i="20"/>
  <c r="H48" i="20"/>
  <c r="F48" i="20"/>
  <c r="G48" i="20" s="1"/>
  <c r="H40" i="20"/>
  <c r="F40" i="20"/>
  <c r="G40" i="20" s="1"/>
  <c r="H32" i="20"/>
  <c r="F32" i="20"/>
  <c r="G32" i="20" s="1"/>
  <c r="H24" i="20"/>
  <c r="F24" i="20"/>
  <c r="G24" i="20" s="1"/>
  <c r="H16" i="20"/>
  <c r="F16" i="20"/>
  <c r="G16" i="20" s="1"/>
  <c r="H8" i="20"/>
  <c r="F8" i="20"/>
  <c r="G8" i="20" s="1"/>
  <c r="H31" i="21"/>
  <c r="F31" i="21"/>
  <c r="G31" i="21" s="1"/>
  <c r="H48" i="21"/>
  <c r="F48" i="21"/>
  <c r="G48" i="21" s="1"/>
  <c r="H20" i="21"/>
  <c r="F20" i="21"/>
  <c r="G20" i="21" s="1"/>
  <c r="H33" i="21"/>
  <c r="F33" i="21"/>
  <c r="G33" i="21" s="1"/>
  <c r="H16" i="21"/>
  <c r="F16" i="21"/>
  <c r="G16" i="21" s="1"/>
  <c r="H51" i="21"/>
  <c r="F51" i="21"/>
  <c r="G51" i="21" s="1"/>
  <c r="H14" i="21"/>
  <c r="F14" i="21"/>
  <c r="G14" i="21" s="1"/>
  <c r="E57" i="18"/>
  <c r="H5" i="18"/>
  <c r="H10" i="18"/>
  <c r="I10" i="18" s="1"/>
  <c r="J10" i="18" s="1"/>
  <c r="H7" i="18"/>
  <c r="H9" i="18"/>
  <c r="E55" i="18"/>
  <c r="H6" i="18"/>
  <c r="I6" i="18" s="1"/>
  <c r="J6" i="18" s="1"/>
  <c r="H11" i="18"/>
  <c r="H13" i="18"/>
  <c r="I13" i="18" s="1"/>
  <c r="J13" i="18" s="1"/>
  <c r="E54" i="18"/>
  <c r="H8" i="18"/>
  <c r="I8" i="18" s="1"/>
  <c r="J8" i="18" s="1"/>
  <c r="H12" i="18"/>
  <c r="I12" i="18" s="1"/>
  <c r="J12" i="18" s="1"/>
  <c r="E56" i="18"/>
  <c r="H28" i="21"/>
  <c r="F28" i="21"/>
  <c r="G28" i="21" s="1"/>
  <c r="H52" i="21"/>
  <c r="F52" i="21"/>
  <c r="G52" i="21" s="1"/>
  <c r="H38" i="21"/>
  <c r="F38" i="21"/>
  <c r="G38" i="21" s="1"/>
  <c r="H44" i="21"/>
  <c r="F44" i="21"/>
  <c r="G44" i="21" s="1"/>
  <c r="H26" i="21"/>
  <c r="F26" i="21"/>
  <c r="G26" i="21" s="1"/>
  <c r="C54" i="21"/>
  <c r="H9" i="21"/>
  <c r="F9" i="21"/>
  <c r="G9" i="21" s="1"/>
  <c r="H24" i="21"/>
  <c r="F24" i="21"/>
  <c r="G24" i="21" s="1"/>
  <c r="H47" i="21"/>
  <c r="F47" i="21"/>
  <c r="G47" i="21" s="1"/>
  <c r="H50" i="21"/>
  <c r="F50" i="21"/>
  <c r="G50" i="21" s="1"/>
  <c r="P57" i="10"/>
  <c r="P56" i="10"/>
  <c r="P54" i="10"/>
  <c r="R55" i="10" s="1"/>
  <c r="P55" i="10"/>
  <c r="G162" i="6"/>
  <c r="G161" i="6"/>
  <c r="G160" i="6"/>
  <c r="G159" i="6"/>
  <c r="G158" i="6"/>
  <c r="E162" i="6"/>
  <c r="E160" i="6"/>
  <c r="E161" i="6"/>
  <c r="E159" i="6"/>
  <c r="E158" i="6"/>
  <c r="H43" i="20"/>
  <c r="F43" i="20"/>
  <c r="G43" i="20" s="1"/>
  <c r="H27" i="20"/>
  <c r="F27" i="20"/>
  <c r="G27" i="20" s="1"/>
  <c r="H11" i="20"/>
  <c r="F11" i="20"/>
  <c r="G11" i="20" s="1"/>
  <c r="H12" i="21"/>
  <c r="F12" i="21"/>
  <c r="G12" i="21" s="1"/>
  <c r="H13" i="21"/>
  <c r="F13" i="21"/>
  <c r="G13" i="21" s="1"/>
  <c r="H49" i="20"/>
  <c r="F49" i="20"/>
  <c r="G49" i="20" s="1"/>
  <c r="H41" i="20"/>
  <c r="F41" i="20"/>
  <c r="G41" i="20" s="1"/>
  <c r="H33" i="20"/>
  <c r="F33" i="20"/>
  <c r="G33" i="20" s="1"/>
  <c r="H25" i="20"/>
  <c r="F25" i="20"/>
  <c r="G25" i="20" s="1"/>
  <c r="H17" i="20"/>
  <c r="F17" i="20"/>
  <c r="G17" i="20" s="1"/>
  <c r="H9" i="20"/>
  <c r="F9" i="20"/>
  <c r="G9" i="20" s="1"/>
  <c r="H52" i="20"/>
  <c r="F52" i="20"/>
  <c r="G52" i="20" s="1"/>
  <c r="H44" i="20"/>
  <c r="F44" i="20"/>
  <c r="G44" i="20" s="1"/>
  <c r="H36" i="20"/>
  <c r="F36" i="20"/>
  <c r="G36" i="20" s="1"/>
  <c r="H28" i="20"/>
  <c r="F28" i="20"/>
  <c r="G28" i="20" s="1"/>
  <c r="H20" i="20"/>
  <c r="F20" i="20"/>
  <c r="G20" i="20" s="1"/>
  <c r="H12" i="20"/>
  <c r="F12" i="20"/>
  <c r="G12" i="20" s="1"/>
  <c r="H22" i="21"/>
  <c r="F22" i="21"/>
  <c r="G22" i="21" s="1"/>
  <c r="H8" i="21"/>
  <c r="F8" i="21"/>
  <c r="G8" i="21" s="1"/>
  <c r="H25" i="21"/>
  <c r="F25" i="21"/>
  <c r="G25" i="21" s="1"/>
  <c r="H23" i="21"/>
  <c r="F23" i="21"/>
  <c r="G23" i="21" s="1"/>
  <c r="E54" i="21"/>
  <c r="H4" i="21"/>
  <c r="E55" i="21"/>
  <c r="F4" i="21"/>
  <c r="H36" i="21"/>
  <c r="F36" i="21"/>
  <c r="G36" i="21" s="1"/>
  <c r="H43" i="21"/>
  <c r="F43" i="21"/>
  <c r="G43" i="21" s="1"/>
  <c r="E56" i="22"/>
  <c r="E55" i="22"/>
  <c r="H5" i="22"/>
  <c r="F5" i="22"/>
  <c r="H35" i="21"/>
  <c r="F35" i="21"/>
  <c r="G35" i="21" s="1"/>
  <c r="H40" i="21"/>
  <c r="F40" i="21"/>
  <c r="G40" i="21" s="1"/>
  <c r="H6" i="21"/>
  <c r="F6" i="21"/>
  <c r="G6" i="21" s="1"/>
  <c r="M60" i="12"/>
  <c r="M58" i="12"/>
  <c r="M57" i="12"/>
  <c r="M59" i="12"/>
  <c r="G165" i="41" l="1"/>
  <c r="H56" i="22"/>
  <c r="H55" i="22"/>
  <c r="H55" i="20"/>
  <c r="H56" i="20"/>
  <c r="F55" i="20"/>
  <c r="F56" i="20"/>
  <c r="G5" i="20"/>
  <c r="I9" i="18"/>
  <c r="J9" i="18" s="1"/>
  <c r="E165" i="41"/>
  <c r="F54" i="21"/>
  <c r="F55" i="21"/>
  <c r="G4" i="21"/>
  <c r="F56" i="22"/>
  <c r="F55" i="22"/>
  <c r="G5" i="22"/>
  <c r="H54" i="21"/>
  <c r="H55" i="21"/>
  <c r="I11" i="18"/>
  <c r="J11" i="18" s="1"/>
  <c r="I7" i="18"/>
  <c r="J7" i="18" s="1"/>
  <c r="O58" i="12"/>
  <c r="G56" i="22" l="1"/>
  <c r="G55" i="22"/>
  <c r="G55" i="21"/>
  <c r="G54" i="21"/>
  <c r="G55" i="20"/>
  <c r="G56" i="20"/>
</calcChain>
</file>

<file path=xl/sharedStrings.xml><?xml version="1.0" encoding="utf-8"?>
<sst xmlns="http://schemas.openxmlformats.org/spreadsheetml/2006/main" count="1373" uniqueCount="204">
  <si>
    <t>Nivea</t>
  </si>
  <si>
    <t>Percentage</t>
  </si>
  <si>
    <t>Parent Company</t>
  </si>
  <si>
    <t>Ultra Akut Peeling</t>
  </si>
  <si>
    <t>Clearasil</t>
  </si>
  <si>
    <t>Garnier</t>
  </si>
  <si>
    <t>Hautklar Aktiv</t>
  </si>
  <si>
    <t>Creme Peeling Dusche</t>
  </si>
  <si>
    <t>Pureskin Antispot Micro Peeling</t>
  </si>
  <si>
    <t>Beiersdorf AG</t>
  </si>
  <si>
    <t>Reckitt Benckiser Deutschland GmbH</t>
  </si>
  <si>
    <t>Product Name</t>
  </si>
  <si>
    <t>Company</t>
  </si>
  <si>
    <t>Neutrogena</t>
  </si>
  <si>
    <t>Visibly Clear Pink Grapefruit Tägliches Peeling</t>
  </si>
  <si>
    <t xml:space="preserve">JOHNSON &amp; JOHNSON GmbH
</t>
  </si>
  <si>
    <t>JOHNSON &amp; JOHNSON GmbH
Rival</t>
  </si>
  <si>
    <t>L'oreal Deutschland GmbH</t>
  </si>
  <si>
    <t>Essence</t>
  </si>
  <si>
    <t>Casnova</t>
  </si>
  <si>
    <t>Length in Pixel</t>
  </si>
  <si>
    <r>
      <t xml:space="preserve">Length in </t>
    </r>
    <r>
      <rPr>
        <sz val="11"/>
        <color theme="1"/>
        <rFont val="Calibri"/>
        <family val="2"/>
      </rPr>
      <t>µm</t>
    </r>
  </si>
  <si>
    <t>Width in Pixel</t>
  </si>
  <si>
    <r>
      <t xml:space="preserve">Width in </t>
    </r>
    <r>
      <rPr>
        <sz val="11"/>
        <color theme="1"/>
        <rFont val="Calibri"/>
        <family val="2"/>
      </rPr>
      <t>µm</t>
    </r>
  </si>
  <si>
    <t>Mean</t>
  </si>
  <si>
    <t>Visibly clear Fein &amp; Matt Hautverfeinerndes Peeling</t>
  </si>
  <si>
    <t>Average</t>
  </si>
  <si>
    <t>Time in h</t>
  </si>
  <si>
    <t>Pixel</t>
  </si>
  <si>
    <t>µm</t>
  </si>
  <si>
    <t xml:space="preserve">Estimated # of microbeads </t>
  </si>
  <si>
    <t>SD</t>
  </si>
  <si>
    <t>Set Up 2</t>
  </si>
  <si>
    <t>Amount</t>
  </si>
  <si>
    <t>Cumulative Amount</t>
  </si>
  <si>
    <t>12 mg MB R1</t>
  </si>
  <si>
    <t>12 mg MB R2</t>
  </si>
  <si>
    <t>12 mg MB R3</t>
  </si>
  <si>
    <t>Min</t>
  </si>
  <si>
    <t>Max</t>
  </si>
  <si>
    <t>mg</t>
  </si>
  <si>
    <t>Median</t>
  </si>
  <si>
    <t>300 mg</t>
  </si>
  <si>
    <t>200 mg</t>
  </si>
  <si>
    <t>100 mg</t>
  </si>
  <si>
    <t>50mg</t>
  </si>
  <si>
    <t>average</t>
  </si>
  <si>
    <t>min</t>
  </si>
  <si>
    <t>max</t>
  </si>
  <si>
    <r>
      <t xml:space="preserve">Size, </t>
    </r>
    <r>
      <rPr>
        <sz val="11"/>
        <color theme="1"/>
        <rFont val="Calibri"/>
        <family val="2"/>
      </rPr>
      <t>µm</t>
    </r>
  </si>
  <si>
    <t>V (Pixel)</t>
  </si>
  <si>
    <r>
      <t>V (</t>
    </r>
    <r>
      <rPr>
        <sz val="11"/>
        <color theme="1"/>
        <rFont val="Calibri"/>
        <family val="2"/>
      </rPr>
      <t>µm)/s</t>
    </r>
  </si>
  <si>
    <t>Sec/day</t>
  </si>
  <si>
    <r>
      <t>V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m/d)</t>
    </r>
  </si>
  <si>
    <t>V(m/d)</t>
  </si>
  <si>
    <t>Size, µm</t>
  </si>
  <si>
    <t>V (µm)/s</t>
  </si>
  <si>
    <t>V (µm/d)</t>
  </si>
  <si>
    <t>Bead Number</t>
  </si>
  <si>
    <t>Number</t>
  </si>
  <si>
    <t>Algae</t>
  </si>
  <si>
    <t>Set-up 3</t>
  </si>
  <si>
    <t>Set-up 4</t>
  </si>
  <si>
    <t>All settling velocities (versus size)</t>
  </si>
  <si>
    <t>Set up</t>
  </si>
  <si>
    <t>Replicate #</t>
  </si>
  <si>
    <t>50mg MP+ 120ml A+ 150mg S</t>
  </si>
  <si>
    <t>120ml A</t>
  </si>
  <si>
    <t>Beginning of resusupension</t>
  </si>
  <si>
    <t>Bedload transport</t>
  </si>
  <si>
    <t>Suspended load transport</t>
  </si>
  <si>
    <t>Resuspension type</t>
  </si>
  <si>
    <t>u* [cm/s]</t>
  </si>
  <si>
    <t>Conversion:</t>
  </si>
  <si>
    <t>Blue spherical bead</t>
  </si>
  <si>
    <t>White amorphous bead</t>
  </si>
  <si>
    <t>Comment</t>
  </si>
  <si>
    <t xml:space="preserve">Length in pixel </t>
  </si>
  <si>
    <t>L ength  in µm</t>
  </si>
  <si>
    <t>Blue Bead</t>
  </si>
  <si>
    <t>Length in pixel</t>
  </si>
  <si>
    <t>Width in µm</t>
  </si>
  <si>
    <t>Length in µm</t>
  </si>
  <si>
    <t xml:space="preserve">Big Spherical </t>
  </si>
  <si>
    <t>Length (µm)</t>
  </si>
  <si>
    <t>Width in pixel</t>
  </si>
  <si>
    <t>Width (µm)</t>
  </si>
  <si>
    <t>amorphous</t>
  </si>
  <si>
    <t>White amorphous</t>
  </si>
  <si>
    <t>Size distribution</t>
  </si>
  <si>
    <t>Design of multifactorial experiment with 15 treatments testing aggregation of the diatom T. weissflogii with plastic microbeads</t>
  </si>
  <si>
    <t>Microbead count</t>
  </si>
  <si>
    <t>Conversions:</t>
  </si>
  <si>
    <t xml:space="preserve"> Big Sphere</t>
  </si>
  <si>
    <t>Big sphere</t>
  </si>
  <si>
    <t xml:space="preserve">Width in pixel </t>
  </si>
  <si>
    <t>width (µm)</t>
  </si>
  <si>
    <t>Dark Blue Bead</t>
  </si>
  <si>
    <t>Light Blue elipse</t>
  </si>
  <si>
    <t>Light Blue Elipse</t>
  </si>
  <si>
    <t>Dark Blue Sphere</t>
  </si>
  <si>
    <t>Big spherical green</t>
  </si>
  <si>
    <t>Product ID</t>
  </si>
  <si>
    <t>Plastic dry weight of extracted microbeads (in g)</t>
  </si>
  <si>
    <t>Total product wet weight (in g)</t>
  </si>
  <si>
    <t>Treatment #</t>
  </si>
  <si>
    <t>Concentration of algae, plastic microbeads, and sediments added per 1.15 L cyclinder</t>
  </si>
  <si>
    <t>Average across 3 different concentrations</t>
  </si>
  <si>
    <t>Stadard diviation across all aggregate sizes</t>
  </si>
  <si>
    <t>1.15 L</t>
  </si>
  <si>
    <t>1 L</t>
  </si>
  <si>
    <t>1 ml</t>
  </si>
  <si>
    <t>Standard Diviation</t>
  </si>
  <si>
    <t>STDV</t>
  </si>
  <si>
    <t>Plastic microbead percentage of product volume (%)</t>
  </si>
  <si>
    <t xml:space="preserve">Product information and plastic percentage per product volume </t>
  </si>
  <si>
    <r>
      <t xml:space="preserve">10 </t>
    </r>
    <r>
      <rPr>
        <vertAlign val="superscript"/>
        <sz val="11"/>
        <color theme="1"/>
        <rFont val="Calibri (Body)"/>
      </rPr>
      <t>6</t>
    </r>
  </si>
  <si>
    <t>Plastic content (in mg)</t>
  </si>
  <si>
    <t>Sediment content (in mg)</t>
  </si>
  <si>
    <t>Microbead concentration</t>
  </si>
  <si>
    <t>Sediments</t>
  </si>
  <si>
    <t xml:space="preserve">Concentration of algae, plastic microbeads, and sediments added per 1L </t>
  </si>
  <si>
    <t>Algal content</t>
  </si>
  <si>
    <r>
      <t>Algae content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T. weissflogi</t>
    </r>
    <r>
      <rPr>
        <b/>
        <sz val="11"/>
        <color theme="1"/>
        <rFont val="Calibri"/>
        <family val="2"/>
        <scheme val="minor"/>
      </rPr>
      <t>) # of cells</t>
    </r>
  </si>
  <si>
    <t>Algae content (T. weissflogi) # of cells</t>
  </si>
  <si>
    <t>Aggregate size distribution set-up 1</t>
  </si>
  <si>
    <t>Treatment 1</t>
  </si>
  <si>
    <t>Treatment 2</t>
  </si>
  <si>
    <t>Treatment 3</t>
  </si>
  <si>
    <t>Aggregate size distribution set-up 2</t>
  </si>
  <si>
    <t>Treatmet 4</t>
  </si>
  <si>
    <t>Treatment 5</t>
  </si>
  <si>
    <t>Treatment 6</t>
  </si>
  <si>
    <t>Treatment 8</t>
  </si>
  <si>
    <t>Treatment 9</t>
  </si>
  <si>
    <t>Treatment 10</t>
  </si>
  <si>
    <t xml:space="preserve">300mg microbeads only </t>
  </si>
  <si>
    <t>200mg microbeads only</t>
  </si>
  <si>
    <t>100mg microbeads only</t>
  </si>
  <si>
    <t>300mg microbeads + phytoplankton</t>
  </si>
  <si>
    <t>200g microbeads + phytoplankton</t>
  </si>
  <si>
    <t>100g microbeads+ phytoplankton</t>
  </si>
  <si>
    <t>50mg microbeads + phytoplakton</t>
  </si>
  <si>
    <t>25mg microbeads + phytoplakton</t>
  </si>
  <si>
    <t>12.5mg microbeads + phytoplakton</t>
  </si>
  <si>
    <t>50mg microbeads + phytoplakton+ sediments</t>
  </si>
  <si>
    <t>25mg microbeads + phytoplakton+ sediments</t>
  </si>
  <si>
    <t>12.5mg microbeads + phytoplakton+ sediments</t>
  </si>
  <si>
    <t>Treatment 12</t>
  </si>
  <si>
    <t>Treatment 13</t>
  </si>
  <si>
    <t>Treatment 14</t>
  </si>
  <si>
    <t>Aggregate size distribution treatment 7, 11, 15</t>
  </si>
  <si>
    <t>Phytoplankton only</t>
  </si>
  <si>
    <t>Replicate</t>
  </si>
  <si>
    <t>300mg microbeads</t>
  </si>
  <si>
    <t>200mg microbeads</t>
  </si>
  <si>
    <t>100mg microbeads</t>
  </si>
  <si>
    <t>Turbidity set-up 1 (Turbidity values in NTU)</t>
  </si>
  <si>
    <t>Turbidity set-up 2 (Turbidity values in NTU)</t>
  </si>
  <si>
    <t>% decrease over 72 hrs</t>
  </si>
  <si>
    <t>200mg microbeads + phytoplankton</t>
  </si>
  <si>
    <t>100mg microbeads + phytoplankton</t>
  </si>
  <si>
    <t>Turbidity set-up 3 (Turbidity values in NTU)</t>
  </si>
  <si>
    <t>50mg microbeads + phytoplankton</t>
  </si>
  <si>
    <t>25mg microbeads + phytoplankton</t>
  </si>
  <si>
    <t>12.5mg microbeads + phytoplankton</t>
  </si>
  <si>
    <t>Turbidity set-up 4 (Turbidity values in NTU)</t>
  </si>
  <si>
    <t>50mg microbeads + phytoplankton +sediments</t>
  </si>
  <si>
    <t>25mg microbeads + phytoplankton+sediments</t>
  </si>
  <si>
    <t>Settling Speed Phytoplankton Only</t>
  </si>
  <si>
    <t>V(cm/s)</t>
  </si>
  <si>
    <t>Phytoplankton Only</t>
  </si>
  <si>
    <t>Set-up 4, treatment 12</t>
  </si>
  <si>
    <r>
      <t xml:space="preserve">Size in 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</si>
  <si>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t>Size in µm</t>
  </si>
  <si>
    <t>Aggregate size distribution set-up 3</t>
  </si>
  <si>
    <t>Microbead Size Distribution-Neutrogena Pink Grapefruit Brand</t>
  </si>
  <si>
    <t>Microbead Size Distribution-Nivea Brand</t>
  </si>
  <si>
    <t xml:space="preserve"> Microbead Size Distribution-Clearasil Brand</t>
  </si>
  <si>
    <t>Microbead Size Distribution-Ganier Brand</t>
  </si>
  <si>
    <t>Microbead Size Distribution-Neutrogena Visibly clear Fein &amp; Matt Hautverfeinerndes Peeling Brand</t>
  </si>
  <si>
    <t>Microbead Size Distribution-Essence Brand</t>
  </si>
  <si>
    <t>Conversions</t>
  </si>
  <si>
    <t># of Beads</t>
  </si>
  <si>
    <t>Aggregate size distribution set-up 4</t>
  </si>
  <si>
    <t>Settling Speed set-Up 3, Treatment 8</t>
  </si>
  <si>
    <t>Settling Speed Set-up 4, Treatment 12</t>
  </si>
  <si>
    <t>Buoyancy</t>
  </si>
  <si>
    <t>Comments*</t>
  </si>
  <si>
    <t>*for all products no particles are visible in suspension after 24 hrs and have collected either at the surface (product 1-6) or at the bottom (blue spheres product 3, freshwater)</t>
  </si>
  <si>
    <t>Freshwater</t>
  </si>
  <si>
    <t>Saltwater</t>
  </si>
  <si>
    <t>Groundmass</t>
  </si>
  <si>
    <t>Spheres</t>
  </si>
  <si>
    <t>positive</t>
  </si>
  <si>
    <t>na</t>
  </si>
  <si>
    <t>negative</t>
  </si>
  <si>
    <t>Blue spheres collect immediately at the surface; the majority** of white particles collect at surface within 30 seconds</t>
  </si>
  <si>
    <t>**ʻthe majority means that only very few particles were still visible in suspension and the large amount of particles had formed a layer of microplastic at the surface</t>
  </si>
  <si>
    <t>In freshwater blue spheres seem neutral at first and sink slowly within 24 hrs; in saltwater blue spheres rise slowly to surface within 24 hours; the majority** of white particles collects at surface withing 2 minutes</t>
  </si>
  <si>
    <t>Green spheres rise immediately to surface; the majority** of white plastic particles collect at surface within 60 seconds</t>
  </si>
  <si>
    <t xml:space="preserve"> White groundmass only, the majority** of plastic particles collect at surface within 2 minutes</t>
  </si>
  <si>
    <t>Dark blue spheres collect immediately at surface; the majority ** of light blue and white particles show similar buoyancy and collect at surface within 60 seconds</t>
  </si>
  <si>
    <t>Blue spheres rise immediately to surface; the majority** of white plastic particles collect at surface within 90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</si>
</sst>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 (Body)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1" fontId="0" fillId="0" borderId="0" xfId="0" applyNumberFormat="1"/>
    <xf numFmtId="2" fontId="0" fillId="0" borderId="0" xfId="0" applyNumberFormat="1"/>
    <xf numFmtId="0" fontId="0" fillId="0" borderId="0" xfId="0" applyFill="1" applyBorder="1"/>
    <xf numFmtId="0" fontId="1" fillId="0" borderId="0" xfId="0" applyFont="1"/>
    <xf numFmtId="0" fontId="6" fillId="0" borderId="0" xfId="0" applyFont="1"/>
    <xf numFmtId="1" fontId="0" fillId="0" borderId="0" xfId="0" applyNumberFormat="1" applyFill="1"/>
    <xf numFmtId="0" fontId="0" fillId="0" borderId="10" xfId="0" applyBorder="1"/>
    <xf numFmtId="0" fontId="1" fillId="0" borderId="0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" fillId="0" borderId="0" xfId="0" applyFont="1" applyFill="1"/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1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11" xfId="0" applyBorder="1"/>
    <xf numFmtId="0" fontId="0" fillId="0" borderId="7" xfId="0" applyBorder="1"/>
    <xf numFmtId="0" fontId="2" fillId="0" borderId="5" xfId="0" applyFont="1" applyBorder="1"/>
    <xf numFmtId="0" fontId="2" fillId="0" borderId="11" xfId="0" applyFont="1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3" xfId="0" applyBorder="1" applyAlignment="1"/>
    <xf numFmtId="0" fontId="0" fillId="0" borderId="12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2" defaultPivotStyle="PivotStyleLight16"/>
  <colors>
    <mruColors>
      <color rgb="FFE5CBB1"/>
      <color rgb="FF996633"/>
      <color rgb="FFECFB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Set-up 2: Average aggregate size of different microbead concentrations and algae</a:t>
            </a:r>
          </a:p>
        </c:rich>
      </c:tx>
      <c:layout>
        <c:manualLayout>
          <c:xMode val="edge"/>
          <c:yMode val="edge"/>
          <c:x val="0.19012308258782601"/>
          <c:y val="3.914372334634139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2CE8-A84C-8DAD-F1E779EC42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CE8-A84C-8DAD-F1E779EC42D1}"/>
              </c:ext>
            </c:extLst>
          </c:dPt>
          <c:cat>
            <c:strRef>
              <c:f>'Aggregate size set-up 2'!$D$141:$D$143</c:f>
              <c:strCache>
                <c:ptCount val="3"/>
                <c:pt idx="0">
                  <c:v>300 mg</c:v>
                </c:pt>
                <c:pt idx="1">
                  <c:v>200 mg</c:v>
                </c:pt>
                <c:pt idx="2">
                  <c:v>100 mg</c:v>
                </c:pt>
              </c:strCache>
            </c:strRef>
          </c:cat>
          <c:val>
            <c:numRef>
              <c:f>'Aggregate size set-up 2'!$D$145:$F$145</c:f>
              <c:numCache>
                <c:formatCode>General</c:formatCode>
                <c:ptCount val="3"/>
                <c:pt idx="0">
                  <c:v>1809.5414388000002</c:v>
                </c:pt>
                <c:pt idx="1">
                  <c:v>1915.4168435999993</c:v>
                </c:pt>
                <c:pt idx="2">
                  <c:v>2247.9232236000003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8-A84C-8DAD-F1E779EC4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6173008"/>
        <c:axId val="-536171232"/>
      </c:barChart>
      <c:catAx>
        <c:axId val="-53617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536171232"/>
        <c:crosses val="autoZero"/>
        <c:auto val="1"/>
        <c:lblAlgn val="ctr"/>
        <c:lblOffset val="100"/>
        <c:noMultiLvlLbl val="0"/>
      </c:catAx>
      <c:valAx>
        <c:axId val="-536171232"/>
        <c:scaling>
          <c:orientation val="minMax"/>
          <c:max val="23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Size in µm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3617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164</xdr:row>
      <xdr:rowOff>33337</xdr:rowOff>
    </xdr:from>
    <xdr:to>
      <xdr:col>7</xdr:col>
      <xdr:colOff>295274</xdr:colOff>
      <xdr:row>177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10"/>
  <sheetViews>
    <sheetView topLeftCell="A2" workbookViewId="0">
      <selection activeCell="C26" sqref="C26"/>
    </sheetView>
  </sheetViews>
  <sheetFormatPr baseColWidth="10" defaultRowHeight="15"/>
  <cols>
    <col min="3" max="3" width="10.33203125" customWidth="1"/>
    <col min="4" max="4" width="10.6640625" customWidth="1"/>
    <col min="5" max="5" width="41.83203125" customWidth="1"/>
    <col min="6" max="6" width="33" customWidth="1"/>
    <col min="7" max="7" width="14.5" customWidth="1"/>
    <col min="8" max="8" width="18.5" customWidth="1"/>
    <col min="9" max="9" width="19.5" customWidth="1"/>
  </cols>
  <sheetData>
    <row r="1" spans="3:9">
      <c r="C1" s="8" t="s">
        <v>115</v>
      </c>
    </row>
    <row r="4" spans="3:9" ht="50" customHeight="1">
      <c r="C4" s="18" t="s">
        <v>102</v>
      </c>
      <c r="D4" s="19" t="s">
        <v>12</v>
      </c>
      <c r="E4" s="19" t="s">
        <v>11</v>
      </c>
      <c r="F4" s="19" t="s">
        <v>2</v>
      </c>
      <c r="G4" s="24" t="s">
        <v>104</v>
      </c>
      <c r="H4" s="24" t="s">
        <v>103</v>
      </c>
      <c r="I4" s="25" t="s">
        <v>114</v>
      </c>
    </row>
    <row r="5" spans="3:9" ht="20" customHeight="1">
      <c r="C5" s="36">
        <v>1</v>
      </c>
      <c r="D5" s="15" t="s">
        <v>0</v>
      </c>
      <c r="E5" s="15" t="s">
        <v>7</v>
      </c>
      <c r="F5" s="15" t="s">
        <v>9</v>
      </c>
      <c r="G5" s="20">
        <v>176</v>
      </c>
      <c r="H5" s="20">
        <v>10.26</v>
      </c>
      <c r="I5" s="21">
        <f>0.05829*100</f>
        <v>5.8289999999999997</v>
      </c>
    </row>
    <row r="6" spans="3:9" ht="19" customHeight="1">
      <c r="C6" s="36">
        <v>2</v>
      </c>
      <c r="D6" s="15" t="s">
        <v>13</v>
      </c>
      <c r="E6" s="15" t="s">
        <v>14</v>
      </c>
      <c r="F6" s="15" t="s">
        <v>15</v>
      </c>
      <c r="G6" s="20">
        <v>124</v>
      </c>
      <c r="H6" s="20">
        <v>3.8</v>
      </c>
      <c r="I6" s="21">
        <f>H6/G6*100</f>
        <v>3.064516129032258</v>
      </c>
    </row>
    <row r="7" spans="3:9" ht="19" customHeight="1">
      <c r="C7" s="36">
        <v>3</v>
      </c>
      <c r="D7" s="15" t="s">
        <v>4</v>
      </c>
      <c r="E7" s="15" t="s">
        <v>3</v>
      </c>
      <c r="F7" s="15" t="s">
        <v>10</v>
      </c>
      <c r="G7" s="20">
        <v>117</v>
      </c>
      <c r="H7" s="20">
        <v>5.0999999999999996</v>
      </c>
      <c r="I7" s="21">
        <f t="shared" ref="I7:I10" si="0">H7/G7*100</f>
        <v>4.3589743589743586</v>
      </c>
    </row>
    <row r="8" spans="3:9" ht="18" customHeight="1">
      <c r="C8" s="36">
        <v>4</v>
      </c>
      <c r="D8" s="15" t="s">
        <v>5</v>
      </c>
      <c r="E8" s="15" t="s">
        <v>6</v>
      </c>
      <c r="F8" s="15" t="s">
        <v>17</v>
      </c>
      <c r="G8" s="20">
        <v>126</v>
      </c>
      <c r="H8" s="20">
        <v>3.3</v>
      </c>
      <c r="I8" s="21">
        <f t="shared" si="0"/>
        <v>2.6190476190476186</v>
      </c>
    </row>
    <row r="9" spans="3:9" ht="19" customHeight="1">
      <c r="C9" s="36">
        <v>5</v>
      </c>
      <c r="D9" s="15" t="s">
        <v>13</v>
      </c>
      <c r="E9" s="15" t="s">
        <v>25</v>
      </c>
      <c r="F9" s="15" t="s">
        <v>16</v>
      </c>
      <c r="G9" s="20">
        <v>133</v>
      </c>
      <c r="H9" s="20">
        <v>7.8</v>
      </c>
      <c r="I9" s="21">
        <f>(H9/G9)*100</f>
        <v>5.8646616541353387</v>
      </c>
    </row>
    <row r="10" spans="3:9" ht="18" customHeight="1">
      <c r="C10" s="37">
        <v>6</v>
      </c>
      <c r="D10" s="16" t="s">
        <v>18</v>
      </c>
      <c r="E10" s="16" t="s">
        <v>8</v>
      </c>
      <c r="F10" s="16" t="s">
        <v>19</v>
      </c>
      <c r="G10" s="22">
        <v>96</v>
      </c>
      <c r="H10" s="22">
        <v>2</v>
      </c>
      <c r="I10" s="23">
        <f t="shared" si="0"/>
        <v>2.083333333333333</v>
      </c>
    </row>
  </sheetData>
  <phoneticPr fontId="7" type="noConversion"/>
  <pageMargins left="0.7" right="0.7" top="0.75" bottom="0.75" header="0.3" footer="0.3"/>
  <pageSetup scale="61" orientation="portrait" horizontalDpi="0" verticalDpi="0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60"/>
  <sheetViews>
    <sheetView workbookViewId="0">
      <selection activeCell="A6" sqref="A6:B9"/>
    </sheetView>
  </sheetViews>
  <sheetFormatPr baseColWidth="10" defaultRowHeight="15"/>
  <sheetData>
    <row r="1" spans="1:16">
      <c r="C1" s="8" t="s">
        <v>125</v>
      </c>
      <c r="H1" s="8"/>
      <c r="M1" s="8"/>
    </row>
    <row r="2" spans="1:16">
      <c r="C2" s="8" t="s">
        <v>126</v>
      </c>
      <c r="H2" s="8"/>
      <c r="I2" s="8" t="s">
        <v>127</v>
      </c>
      <c r="M2" s="8"/>
      <c r="N2" s="8" t="s">
        <v>128</v>
      </c>
    </row>
    <row r="3" spans="1:16" ht="15" customHeight="1">
      <c r="D3" t="s">
        <v>136</v>
      </c>
      <c r="I3" t="s">
        <v>137</v>
      </c>
      <c r="N3" t="s">
        <v>138</v>
      </c>
    </row>
    <row r="4" spans="1:16" ht="15" customHeight="1">
      <c r="C4" t="s">
        <v>59</v>
      </c>
      <c r="D4" t="s">
        <v>20</v>
      </c>
      <c r="F4" t="s">
        <v>21</v>
      </c>
      <c r="H4" t="s">
        <v>59</v>
      </c>
      <c r="I4" t="s">
        <v>20</v>
      </c>
      <c r="K4" t="s">
        <v>21</v>
      </c>
      <c r="M4" t="s">
        <v>59</v>
      </c>
      <c r="N4" t="s">
        <v>20</v>
      </c>
      <c r="P4" t="s">
        <v>21</v>
      </c>
    </row>
    <row r="5" spans="1:16">
      <c r="C5">
        <v>1</v>
      </c>
      <c r="D5">
        <v>69376</v>
      </c>
      <c r="E5">
        <f>D5/1000</f>
        <v>69.376000000000005</v>
      </c>
      <c r="F5">
        <f t="shared" ref="F5:F36" si="0">E5*10</f>
        <v>693.76</v>
      </c>
      <c r="H5">
        <v>1</v>
      </c>
      <c r="I5">
        <v>85024</v>
      </c>
      <c r="J5">
        <f t="shared" ref="J5:J54" si="1">I5/1000</f>
        <v>85.024000000000001</v>
      </c>
      <c r="K5">
        <f t="shared" ref="K5:K54" si="2">J5*10</f>
        <v>850.24</v>
      </c>
      <c r="M5">
        <v>1</v>
      </c>
      <c r="N5">
        <v>101789</v>
      </c>
      <c r="O5">
        <f>N5/1000</f>
        <v>101.789</v>
      </c>
      <c r="P5">
        <f>O5*10</f>
        <v>1017.89</v>
      </c>
    </row>
    <row r="6" spans="1:16">
      <c r="A6" s="55" t="s">
        <v>73</v>
      </c>
      <c r="B6" s="56"/>
      <c r="C6">
        <v>2</v>
      </c>
      <c r="D6">
        <v>156036</v>
      </c>
      <c r="E6">
        <f t="shared" ref="E6:E54" si="3">D6/1000</f>
        <v>156.036</v>
      </c>
      <c r="F6">
        <f t="shared" si="0"/>
        <v>1560.3600000000001</v>
      </c>
      <c r="H6">
        <v>2</v>
      </c>
      <c r="I6">
        <v>60008</v>
      </c>
      <c r="J6">
        <f t="shared" si="1"/>
        <v>60.008000000000003</v>
      </c>
      <c r="K6">
        <f t="shared" si="2"/>
        <v>600.08000000000004</v>
      </c>
      <c r="M6">
        <v>2</v>
      </c>
      <c r="N6">
        <v>83433</v>
      </c>
      <c r="O6">
        <f t="shared" ref="O6:O54" si="4">N6/1000</f>
        <v>83.433000000000007</v>
      </c>
      <c r="P6">
        <f t="shared" ref="P6:P54" si="5">O6*10</f>
        <v>834.33</v>
      </c>
    </row>
    <row r="7" spans="1:16">
      <c r="A7" s="57" t="s">
        <v>28</v>
      </c>
      <c r="B7" s="58" t="s">
        <v>29</v>
      </c>
      <c r="C7">
        <v>3</v>
      </c>
      <c r="D7">
        <v>80231</v>
      </c>
      <c r="E7">
        <f t="shared" si="3"/>
        <v>80.230999999999995</v>
      </c>
      <c r="F7">
        <f t="shared" si="0"/>
        <v>802.31</v>
      </c>
      <c r="H7">
        <v>3</v>
      </c>
      <c r="I7">
        <v>173980</v>
      </c>
      <c r="J7">
        <f t="shared" si="1"/>
        <v>173.98</v>
      </c>
      <c r="K7">
        <f t="shared" si="2"/>
        <v>1739.8</v>
      </c>
      <c r="M7">
        <v>3</v>
      </c>
      <c r="N7">
        <v>40237</v>
      </c>
      <c r="O7">
        <f t="shared" si="4"/>
        <v>40.237000000000002</v>
      </c>
      <c r="P7">
        <f t="shared" si="5"/>
        <v>402.37</v>
      </c>
    </row>
    <row r="8" spans="1:16">
      <c r="A8" s="57">
        <v>50</v>
      </c>
      <c r="B8" s="58">
        <v>500</v>
      </c>
      <c r="C8">
        <v>4</v>
      </c>
      <c r="D8">
        <v>46615</v>
      </c>
      <c r="E8">
        <f t="shared" si="3"/>
        <v>46.615000000000002</v>
      </c>
      <c r="F8">
        <f t="shared" si="0"/>
        <v>466.15000000000003</v>
      </c>
      <c r="H8">
        <v>4</v>
      </c>
      <c r="I8">
        <v>97329</v>
      </c>
      <c r="J8">
        <f t="shared" si="1"/>
        <v>97.328999999999994</v>
      </c>
      <c r="K8">
        <f t="shared" si="2"/>
        <v>973.29</v>
      </c>
      <c r="M8">
        <v>4</v>
      </c>
      <c r="N8">
        <v>84024</v>
      </c>
      <c r="O8">
        <f t="shared" si="4"/>
        <v>84.024000000000001</v>
      </c>
      <c r="P8">
        <f t="shared" si="5"/>
        <v>840.24</v>
      </c>
    </row>
    <row r="9" spans="1:16">
      <c r="A9" s="59">
        <v>1</v>
      </c>
      <c r="B9" s="60">
        <v>10</v>
      </c>
      <c r="C9">
        <v>5</v>
      </c>
      <c r="D9">
        <v>69123</v>
      </c>
      <c r="E9">
        <f t="shared" si="3"/>
        <v>69.123000000000005</v>
      </c>
      <c r="F9">
        <f t="shared" si="0"/>
        <v>691.23</v>
      </c>
      <c r="H9">
        <v>5</v>
      </c>
      <c r="I9">
        <v>95854</v>
      </c>
      <c r="J9">
        <f t="shared" si="1"/>
        <v>95.853999999999999</v>
      </c>
      <c r="K9">
        <f t="shared" si="2"/>
        <v>958.54</v>
      </c>
      <c r="M9">
        <v>5</v>
      </c>
      <c r="N9">
        <v>68478</v>
      </c>
      <c r="O9">
        <f t="shared" si="4"/>
        <v>68.477999999999994</v>
      </c>
      <c r="P9">
        <f t="shared" si="5"/>
        <v>684.78</v>
      </c>
    </row>
    <row r="10" spans="1:16">
      <c r="C10">
        <v>6</v>
      </c>
      <c r="D10">
        <v>85276</v>
      </c>
      <c r="E10">
        <f>D10/1000</f>
        <v>85.275999999999996</v>
      </c>
      <c r="F10">
        <f t="shared" si="0"/>
        <v>852.76</v>
      </c>
      <c r="H10">
        <v>6</v>
      </c>
      <c r="I10">
        <v>72173</v>
      </c>
      <c r="J10">
        <f t="shared" si="1"/>
        <v>72.173000000000002</v>
      </c>
      <c r="K10">
        <f t="shared" si="2"/>
        <v>721.73</v>
      </c>
      <c r="M10">
        <v>6</v>
      </c>
      <c r="N10">
        <v>54095</v>
      </c>
      <c r="O10">
        <f t="shared" si="4"/>
        <v>54.094999999999999</v>
      </c>
      <c r="P10">
        <f t="shared" si="5"/>
        <v>540.95000000000005</v>
      </c>
    </row>
    <row r="11" spans="1:16">
      <c r="C11">
        <v>7</v>
      </c>
      <c r="D11">
        <v>180025</v>
      </c>
      <c r="E11">
        <f t="shared" si="3"/>
        <v>180.02500000000001</v>
      </c>
      <c r="F11">
        <f t="shared" si="0"/>
        <v>1800.25</v>
      </c>
      <c r="H11">
        <v>7</v>
      </c>
      <c r="I11">
        <v>73017</v>
      </c>
      <c r="J11">
        <f t="shared" si="1"/>
        <v>73.016999999999996</v>
      </c>
      <c r="K11">
        <f t="shared" si="2"/>
        <v>730.17</v>
      </c>
      <c r="M11">
        <v>7</v>
      </c>
      <c r="N11">
        <v>74061</v>
      </c>
      <c r="O11">
        <f t="shared" si="4"/>
        <v>74.061000000000007</v>
      </c>
      <c r="P11">
        <f t="shared" si="5"/>
        <v>740.61000000000013</v>
      </c>
    </row>
    <row r="12" spans="1:16">
      <c r="C12">
        <v>8</v>
      </c>
      <c r="D12">
        <v>175923</v>
      </c>
      <c r="E12">
        <f t="shared" si="3"/>
        <v>175.923</v>
      </c>
      <c r="F12">
        <f t="shared" si="0"/>
        <v>1759.23</v>
      </c>
      <c r="H12">
        <v>8</v>
      </c>
      <c r="I12">
        <v>57801</v>
      </c>
      <c r="J12">
        <f t="shared" si="1"/>
        <v>57.801000000000002</v>
      </c>
      <c r="K12">
        <f t="shared" si="2"/>
        <v>578.01</v>
      </c>
      <c r="M12">
        <v>8</v>
      </c>
      <c r="N12">
        <v>127142</v>
      </c>
      <c r="O12">
        <f t="shared" si="4"/>
        <v>127.142</v>
      </c>
      <c r="P12">
        <f t="shared" si="5"/>
        <v>1271.42</v>
      </c>
    </row>
    <row r="13" spans="1:16">
      <c r="C13">
        <v>9</v>
      </c>
      <c r="D13">
        <v>58018</v>
      </c>
      <c r="E13">
        <f t="shared" si="3"/>
        <v>58.018000000000001</v>
      </c>
      <c r="F13">
        <f t="shared" si="0"/>
        <v>580.18000000000006</v>
      </c>
      <c r="H13">
        <v>9</v>
      </c>
      <c r="I13">
        <v>111306</v>
      </c>
      <c r="J13">
        <f t="shared" si="1"/>
        <v>111.306</v>
      </c>
      <c r="K13">
        <f t="shared" si="2"/>
        <v>1113.06</v>
      </c>
      <c r="M13">
        <v>9</v>
      </c>
      <c r="N13">
        <v>69771</v>
      </c>
      <c r="O13">
        <f t="shared" si="4"/>
        <v>69.771000000000001</v>
      </c>
      <c r="P13">
        <f t="shared" si="5"/>
        <v>697.71</v>
      </c>
    </row>
    <row r="14" spans="1:16">
      <c r="C14">
        <v>10</v>
      </c>
      <c r="D14">
        <v>84865</v>
      </c>
      <c r="E14">
        <f t="shared" si="3"/>
        <v>84.864999999999995</v>
      </c>
      <c r="F14">
        <f t="shared" si="0"/>
        <v>848.65</v>
      </c>
      <c r="H14">
        <v>10</v>
      </c>
      <c r="I14">
        <v>80056</v>
      </c>
      <c r="J14">
        <f t="shared" si="1"/>
        <v>80.055999999999997</v>
      </c>
      <c r="K14">
        <f t="shared" si="2"/>
        <v>800.56</v>
      </c>
      <c r="M14">
        <v>10</v>
      </c>
      <c r="N14">
        <v>104809</v>
      </c>
      <c r="O14">
        <f t="shared" si="4"/>
        <v>104.809</v>
      </c>
      <c r="P14">
        <f t="shared" si="5"/>
        <v>1048.0899999999999</v>
      </c>
    </row>
    <row r="15" spans="1:16">
      <c r="C15">
        <v>11</v>
      </c>
      <c r="D15">
        <v>61205</v>
      </c>
      <c r="E15">
        <f t="shared" si="3"/>
        <v>61.204999999999998</v>
      </c>
      <c r="F15">
        <f t="shared" si="0"/>
        <v>612.04999999999995</v>
      </c>
      <c r="H15">
        <v>11</v>
      </c>
      <c r="I15">
        <v>50010</v>
      </c>
      <c r="J15">
        <f t="shared" si="1"/>
        <v>50.01</v>
      </c>
      <c r="K15">
        <f t="shared" si="2"/>
        <v>500.09999999999997</v>
      </c>
      <c r="M15">
        <v>11</v>
      </c>
      <c r="N15">
        <v>73817</v>
      </c>
      <c r="O15">
        <f t="shared" si="4"/>
        <v>73.816999999999993</v>
      </c>
      <c r="P15">
        <f t="shared" si="5"/>
        <v>738.17</v>
      </c>
    </row>
    <row r="16" spans="1:16">
      <c r="C16">
        <v>12</v>
      </c>
      <c r="D16">
        <v>105575</v>
      </c>
      <c r="E16">
        <f t="shared" si="3"/>
        <v>105.575</v>
      </c>
      <c r="F16">
        <f t="shared" si="0"/>
        <v>1055.75</v>
      </c>
      <c r="H16">
        <v>12</v>
      </c>
      <c r="I16">
        <v>62008</v>
      </c>
      <c r="J16">
        <f t="shared" si="1"/>
        <v>62.008000000000003</v>
      </c>
      <c r="K16">
        <f t="shared" si="2"/>
        <v>620.08000000000004</v>
      </c>
      <c r="M16">
        <v>12</v>
      </c>
      <c r="N16">
        <v>62201</v>
      </c>
      <c r="O16">
        <f t="shared" si="4"/>
        <v>62.201000000000001</v>
      </c>
      <c r="P16">
        <f t="shared" si="5"/>
        <v>622.01</v>
      </c>
    </row>
    <row r="17" spans="3:16">
      <c r="C17">
        <v>13</v>
      </c>
      <c r="D17">
        <v>189842</v>
      </c>
      <c r="E17">
        <f t="shared" si="3"/>
        <v>189.84200000000001</v>
      </c>
      <c r="F17">
        <f t="shared" si="0"/>
        <v>1898.42</v>
      </c>
      <c r="H17">
        <v>13</v>
      </c>
      <c r="I17">
        <v>112622</v>
      </c>
      <c r="J17">
        <f t="shared" si="1"/>
        <v>112.622</v>
      </c>
      <c r="K17">
        <f t="shared" si="2"/>
        <v>1126.22</v>
      </c>
      <c r="M17">
        <v>13</v>
      </c>
      <c r="N17">
        <v>67720</v>
      </c>
      <c r="O17">
        <f t="shared" si="4"/>
        <v>67.72</v>
      </c>
      <c r="P17">
        <f t="shared" si="5"/>
        <v>677.2</v>
      </c>
    </row>
    <row r="18" spans="3:16">
      <c r="C18">
        <v>14</v>
      </c>
      <c r="D18">
        <v>112450</v>
      </c>
      <c r="E18">
        <f t="shared" si="3"/>
        <v>112.45</v>
      </c>
      <c r="F18">
        <f t="shared" si="0"/>
        <v>1124.5</v>
      </c>
      <c r="H18">
        <v>14</v>
      </c>
      <c r="I18">
        <v>51010</v>
      </c>
      <c r="J18">
        <f t="shared" si="1"/>
        <v>51.01</v>
      </c>
      <c r="K18">
        <f t="shared" si="2"/>
        <v>510.09999999999997</v>
      </c>
      <c r="M18">
        <v>14</v>
      </c>
      <c r="N18">
        <v>94826</v>
      </c>
      <c r="O18">
        <f t="shared" si="4"/>
        <v>94.825999999999993</v>
      </c>
      <c r="P18">
        <f t="shared" si="5"/>
        <v>948.26</v>
      </c>
    </row>
    <row r="19" spans="3:16">
      <c r="C19">
        <v>15</v>
      </c>
      <c r="D19">
        <v>131529</v>
      </c>
      <c r="E19">
        <f t="shared" si="3"/>
        <v>131.529</v>
      </c>
      <c r="F19">
        <f t="shared" si="0"/>
        <v>1315.29</v>
      </c>
      <c r="H19">
        <v>15</v>
      </c>
      <c r="I19">
        <v>142088</v>
      </c>
      <c r="J19">
        <f t="shared" si="1"/>
        <v>142.08799999999999</v>
      </c>
      <c r="K19">
        <f t="shared" si="2"/>
        <v>1420.8799999999999</v>
      </c>
      <c r="M19">
        <v>15</v>
      </c>
      <c r="N19">
        <v>58421</v>
      </c>
      <c r="O19">
        <f t="shared" si="4"/>
        <v>58.420999999999999</v>
      </c>
      <c r="P19">
        <f t="shared" si="5"/>
        <v>584.21</v>
      </c>
    </row>
    <row r="20" spans="3:16">
      <c r="C20">
        <v>16</v>
      </c>
      <c r="D20">
        <v>114726</v>
      </c>
      <c r="E20">
        <f t="shared" si="3"/>
        <v>114.726</v>
      </c>
      <c r="F20">
        <f t="shared" si="0"/>
        <v>1147.26</v>
      </c>
      <c r="H20">
        <v>16</v>
      </c>
      <c r="I20">
        <v>91137</v>
      </c>
      <c r="J20">
        <f t="shared" si="1"/>
        <v>91.137</v>
      </c>
      <c r="K20">
        <f t="shared" si="2"/>
        <v>911.37</v>
      </c>
      <c r="M20">
        <v>16</v>
      </c>
      <c r="N20">
        <v>84155</v>
      </c>
      <c r="O20">
        <f t="shared" si="4"/>
        <v>84.155000000000001</v>
      </c>
      <c r="P20">
        <f t="shared" si="5"/>
        <v>841.55</v>
      </c>
    </row>
    <row r="21" spans="3:16">
      <c r="C21">
        <v>17</v>
      </c>
      <c r="D21">
        <v>52402</v>
      </c>
      <c r="E21">
        <f t="shared" si="3"/>
        <v>52.402000000000001</v>
      </c>
      <c r="F21">
        <f t="shared" si="0"/>
        <v>524.02</v>
      </c>
      <c r="H21">
        <v>17</v>
      </c>
      <c r="I21">
        <v>110549</v>
      </c>
      <c r="J21">
        <f t="shared" si="1"/>
        <v>110.54900000000001</v>
      </c>
      <c r="K21">
        <f t="shared" si="2"/>
        <v>1105.49</v>
      </c>
      <c r="M21">
        <v>17</v>
      </c>
      <c r="N21">
        <v>86128</v>
      </c>
      <c r="O21">
        <f t="shared" si="4"/>
        <v>86.128</v>
      </c>
      <c r="P21">
        <f t="shared" si="5"/>
        <v>861.28</v>
      </c>
    </row>
    <row r="22" spans="3:16">
      <c r="C22">
        <v>18</v>
      </c>
      <c r="D22">
        <v>43909</v>
      </c>
      <c r="E22">
        <f t="shared" si="3"/>
        <v>43.908999999999999</v>
      </c>
      <c r="F22">
        <f t="shared" si="0"/>
        <v>439.09</v>
      </c>
      <c r="H22">
        <v>18</v>
      </c>
      <c r="I22">
        <v>60083</v>
      </c>
      <c r="J22">
        <f t="shared" si="1"/>
        <v>60.082999999999998</v>
      </c>
      <c r="K22">
        <f t="shared" si="2"/>
        <v>600.82999999999993</v>
      </c>
      <c r="M22">
        <v>18</v>
      </c>
      <c r="N22">
        <v>70694</v>
      </c>
      <c r="O22">
        <f t="shared" si="4"/>
        <v>70.694000000000003</v>
      </c>
      <c r="P22">
        <f t="shared" si="5"/>
        <v>706.94</v>
      </c>
    </row>
    <row r="23" spans="3:16">
      <c r="C23">
        <v>19</v>
      </c>
      <c r="D23">
        <v>40497</v>
      </c>
      <c r="E23">
        <f t="shared" si="3"/>
        <v>40.497</v>
      </c>
      <c r="F23">
        <f t="shared" si="0"/>
        <v>404.97</v>
      </c>
      <c r="H23">
        <v>19</v>
      </c>
      <c r="I23">
        <v>118224</v>
      </c>
      <c r="J23">
        <f t="shared" si="1"/>
        <v>118.224</v>
      </c>
      <c r="K23">
        <f t="shared" si="2"/>
        <v>1182.24</v>
      </c>
      <c r="M23">
        <v>19</v>
      </c>
      <c r="N23">
        <v>84214</v>
      </c>
      <c r="O23">
        <f t="shared" si="4"/>
        <v>84.213999999999999</v>
      </c>
      <c r="P23">
        <f t="shared" si="5"/>
        <v>842.14</v>
      </c>
    </row>
    <row r="24" spans="3:16">
      <c r="C24">
        <v>20</v>
      </c>
      <c r="D24">
        <v>92136</v>
      </c>
      <c r="E24">
        <f t="shared" si="3"/>
        <v>92.135999999999996</v>
      </c>
      <c r="F24">
        <f t="shared" si="0"/>
        <v>921.3599999999999</v>
      </c>
      <c r="H24">
        <v>20</v>
      </c>
      <c r="I24">
        <v>103769</v>
      </c>
      <c r="J24">
        <f t="shared" si="1"/>
        <v>103.76900000000001</v>
      </c>
      <c r="K24">
        <f t="shared" si="2"/>
        <v>1037.69</v>
      </c>
      <c r="M24">
        <v>20</v>
      </c>
      <c r="N24">
        <v>39459</v>
      </c>
      <c r="O24">
        <f t="shared" si="4"/>
        <v>39.459000000000003</v>
      </c>
      <c r="P24">
        <f t="shared" si="5"/>
        <v>394.59000000000003</v>
      </c>
    </row>
    <row r="25" spans="3:16">
      <c r="C25">
        <v>21</v>
      </c>
      <c r="D25">
        <v>80006</v>
      </c>
      <c r="E25">
        <f t="shared" si="3"/>
        <v>80.006</v>
      </c>
      <c r="F25">
        <f t="shared" si="0"/>
        <v>800.06</v>
      </c>
      <c r="H25">
        <v>21</v>
      </c>
      <c r="I25">
        <v>107614</v>
      </c>
      <c r="J25">
        <f t="shared" si="1"/>
        <v>107.614</v>
      </c>
      <c r="K25">
        <f t="shared" si="2"/>
        <v>1076.1400000000001</v>
      </c>
      <c r="M25">
        <v>21</v>
      </c>
      <c r="N25">
        <v>53235</v>
      </c>
      <c r="O25">
        <f t="shared" si="4"/>
        <v>53.234999999999999</v>
      </c>
      <c r="P25">
        <f t="shared" si="5"/>
        <v>532.35</v>
      </c>
    </row>
    <row r="26" spans="3:16">
      <c r="C26">
        <v>22</v>
      </c>
      <c r="D26">
        <v>82765</v>
      </c>
      <c r="E26">
        <f t="shared" si="3"/>
        <v>82.765000000000001</v>
      </c>
      <c r="F26">
        <f t="shared" si="0"/>
        <v>827.65</v>
      </c>
      <c r="H26">
        <v>22</v>
      </c>
      <c r="I26">
        <v>210693</v>
      </c>
      <c r="J26">
        <f t="shared" si="1"/>
        <v>210.69300000000001</v>
      </c>
      <c r="K26">
        <f t="shared" si="2"/>
        <v>2106.9300000000003</v>
      </c>
      <c r="M26">
        <v>22</v>
      </c>
      <c r="N26">
        <v>99624</v>
      </c>
      <c r="O26">
        <f t="shared" si="4"/>
        <v>99.623999999999995</v>
      </c>
      <c r="P26">
        <f t="shared" si="5"/>
        <v>996.24</v>
      </c>
    </row>
    <row r="27" spans="3:16">
      <c r="C27">
        <v>23</v>
      </c>
      <c r="D27">
        <v>64008</v>
      </c>
      <c r="E27">
        <f t="shared" si="3"/>
        <v>64.007999999999996</v>
      </c>
      <c r="F27">
        <f t="shared" si="0"/>
        <v>640.07999999999993</v>
      </c>
      <c r="H27">
        <v>23</v>
      </c>
      <c r="I27">
        <v>91022</v>
      </c>
      <c r="J27">
        <f t="shared" si="1"/>
        <v>91.022000000000006</v>
      </c>
      <c r="K27">
        <f t="shared" si="2"/>
        <v>910.22</v>
      </c>
      <c r="M27">
        <v>23</v>
      </c>
      <c r="N27">
        <v>82211</v>
      </c>
      <c r="O27">
        <f t="shared" si="4"/>
        <v>82.210999999999999</v>
      </c>
      <c r="P27">
        <f t="shared" si="5"/>
        <v>822.11</v>
      </c>
    </row>
    <row r="28" spans="3:16">
      <c r="C28">
        <v>24</v>
      </c>
      <c r="D28">
        <v>37154</v>
      </c>
      <c r="E28">
        <f t="shared" si="3"/>
        <v>37.154000000000003</v>
      </c>
      <c r="F28">
        <f t="shared" si="0"/>
        <v>371.54</v>
      </c>
      <c r="H28">
        <v>24</v>
      </c>
      <c r="I28">
        <v>81566</v>
      </c>
      <c r="J28">
        <f t="shared" si="1"/>
        <v>81.566000000000003</v>
      </c>
      <c r="K28">
        <f t="shared" si="2"/>
        <v>815.66000000000008</v>
      </c>
      <c r="M28">
        <v>24</v>
      </c>
      <c r="N28">
        <v>84959</v>
      </c>
      <c r="O28">
        <f t="shared" si="4"/>
        <v>84.959000000000003</v>
      </c>
      <c r="P28">
        <f t="shared" si="5"/>
        <v>849.59</v>
      </c>
    </row>
    <row r="29" spans="3:16">
      <c r="C29">
        <v>25</v>
      </c>
      <c r="D29">
        <v>204005</v>
      </c>
      <c r="E29">
        <f t="shared" si="3"/>
        <v>204.005</v>
      </c>
      <c r="F29">
        <f t="shared" si="0"/>
        <v>2040.05</v>
      </c>
      <c r="H29">
        <v>25</v>
      </c>
      <c r="I29">
        <v>50994</v>
      </c>
      <c r="J29">
        <f t="shared" si="1"/>
        <v>50.994</v>
      </c>
      <c r="K29">
        <f t="shared" si="2"/>
        <v>509.94</v>
      </c>
      <c r="M29">
        <v>25</v>
      </c>
      <c r="N29">
        <v>85586</v>
      </c>
      <c r="O29">
        <f t="shared" si="4"/>
        <v>85.585999999999999</v>
      </c>
      <c r="P29">
        <f t="shared" si="5"/>
        <v>855.86</v>
      </c>
    </row>
    <row r="30" spans="3:16">
      <c r="C30">
        <v>26</v>
      </c>
      <c r="D30">
        <v>41195</v>
      </c>
      <c r="E30">
        <f t="shared" si="3"/>
        <v>41.195</v>
      </c>
      <c r="F30">
        <f t="shared" si="0"/>
        <v>411.95</v>
      </c>
      <c r="H30">
        <v>26</v>
      </c>
      <c r="I30">
        <v>80156</v>
      </c>
      <c r="J30">
        <f t="shared" si="1"/>
        <v>80.156000000000006</v>
      </c>
      <c r="K30">
        <f t="shared" si="2"/>
        <v>801.56000000000006</v>
      </c>
      <c r="M30">
        <v>26</v>
      </c>
      <c r="N30">
        <v>59008</v>
      </c>
      <c r="O30">
        <f t="shared" si="4"/>
        <v>59.008000000000003</v>
      </c>
      <c r="P30">
        <f t="shared" si="5"/>
        <v>590.08000000000004</v>
      </c>
    </row>
    <row r="31" spans="3:16">
      <c r="C31">
        <v>27</v>
      </c>
      <c r="D31">
        <v>73246</v>
      </c>
      <c r="E31">
        <f t="shared" si="3"/>
        <v>73.245999999999995</v>
      </c>
      <c r="F31">
        <f t="shared" si="0"/>
        <v>732.45999999999992</v>
      </c>
      <c r="H31">
        <v>27</v>
      </c>
      <c r="I31">
        <v>115954</v>
      </c>
      <c r="J31">
        <f t="shared" si="1"/>
        <v>115.95399999999999</v>
      </c>
      <c r="K31">
        <f t="shared" si="2"/>
        <v>1159.54</v>
      </c>
      <c r="M31">
        <v>27</v>
      </c>
      <c r="N31">
        <v>45044</v>
      </c>
      <c r="O31">
        <f t="shared" si="4"/>
        <v>45.043999999999997</v>
      </c>
      <c r="P31">
        <f t="shared" si="5"/>
        <v>450.43999999999994</v>
      </c>
    </row>
    <row r="32" spans="3:16">
      <c r="C32">
        <v>28</v>
      </c>
      <c r="D32">
        <v>95671</v>
      </c>
      <c r="E32">
        <f t="shared" si="3"/>
        <v>95.671000000000006</v>
      </c>
      <c r="F32">
        <f t="shared" si="0"/>
        <v>956.71</v>
      </c>
      <c r="H32">
        <v>28</v>
      </c>
      <c r="I32">
        <v>78772</v>
      </c>
      <c r="J32">
        <f t="shared" si="1"/>
        <v>78.772000000000006</v>
      </c>
      <c r="K32">
        <f t="shared" si="2"/>
        <v>787.72</v>
      </c>
      <c r="M32">
        <v>28</v>
      </c>
      <c r="N32">
        <v>83199</v>
      </c>
      <c r="O32">
        <f t="shared" si="4"/>
        <v>83.198999999999998</v>
      </c>
      <c r="P32">
        <f t="shared" si="5"/>
        <v>831.99</v>
      </c>
    </row>
    <row r="33" spans="3:16">
      <c r="C33">
        <v>29</v>
      </c>
      <c r="D33">
        <v>72780</v>
      </c>
      <c r="E33">
        <f t="shared" si="3"/>
        <v>72.78</v>
      </c>
      <c r="F33">
        <f t="shared" si="0"/>
        <v>727.8</v>
      </c>
      <c r="H33">
        <v>29</v>
      </c>
      <c r="I33">
        <v>90134</v>
      </c>
      <c r="J33">
        <f t="shared" si="1"/>
        <v>90.134</v>
      </c>
      <c r="K33">
        <f t="shared" si="2"/>
        <v>901.34</v>
      </c>
      <c r="M33">
        <v>29</v>
      </c>
      <c r="N33">
        <v>76164</v>
      </c>
      <c r="O33">
        <f t="shared" si="4"/>
        <v>76.164000000000001</v>
      </c>
      <c r="P33">
        <f t="shared" si="5"/>
        <v>761.64</v>
      </c>
    </row>
    <row r="34" spans="3:16">
      <c r="C34">
        <v>30</v>
      </c>
      <c r="D34">
        <v>68951</v>
      </c>
      <c r="E34">
        <f t="shared" si="3"/>
        <v>68.950999999999993</v>
      </c>
      <c r="F34">
        <f t="shared" si="0"/>
        <v>689.51</v>
      </c>
      <c r="H34">
        <v>30</v>
      </c>
      <c r="I34">
        <v>48010</v>
      </c>
      <c r="J34">
        <f t="shared" si="1"/>
        <v>48.01</v>
      </c>
      <c r="K34">
        <f t="shared" si="2"/>
        <v>480.09999999999997</v>
      </c>
      <c r="M34">
        <v>30</v>
      </c>
      <c r="N34">
        <v>54231</v>
      </c>
      <c r="O34">
        <f t="shared" si="4"/>
        <v>54.231000000000002</v>
      </c>
      <c r="P34">
        <f t="shared" si="5"/>
        <v>542.31000000000006</v>
      </c>
    </row>
    <row r="35" spans="3:16">
      <c r="C35">
        <v>31</v>
      </c>
      <c r="D35">
        <v>90558</v>
      </c>
      <c r="E35">
        <f t="shared" si="3"/>
        <v>90.558000000000007</v>
      </c>
      <c r="F35">
        <f t="shared" si="0"/>
        <v>905.58</v>
      </c>
      <c r="H35">
        <v>31</v>
      </c>
      <c r="I35">
        <v>85475</v>
      </c>
      <c r="J35">
        <f t="shared" si="1"/>
        <v>85.474999999999994</v>
      </c>
      <c r="K35">
        <f t="shared" si="2"/>
        <v>854.75</v>
      </c>
      <c r="M35">
        <v>31</v>
      </c>
      <c r="N35">
        <v>54672</v>
      </c>
      <c r="O35">
        <f t="shared" si="4"/>
        <v>54.671999999999997</v>
      </c>
      <c r="P35">
        <f t="shared" si="5"/>
        <v>546.72</v>
      </c>
    </row>
    <row r="36" spans="3:16">
      <c r="C36">
        <v>32</v>
      </c>
      <c r="D36">
        <v>68622</v>
      </c>
      <c r="E36">
        <f t="shared" si="3"/>
        <v>68.622</v>
      </c>
      <c r="F36">
        <f t="shared" si="0"/>
        <v>686.22</v>
      </c>
      <c r="H36">
        <v>32</v>
      </c>
      <c r="I36">
        <v>76922</v>
      </c>
      <c r="J36">
        <f t="shared" si="1"/>
        <v>76.921999999999997</v>
      </c>
      <c r="K36">
        <f t="shared" si="2"/>
        <v>769.22</v>
      </c>
      <c r="M36">
        <v>32</v>
      </c>
      <c r="N36">
        <v>87818</v>
      </c>
      <c r="O36">
        <f t="shared" si="4"/>
        <v>87.817999999999998</v>
      </c>
      <c r="P36">
        <f t="shared" si="5"/>
        <v>878.18</v>
      </c>
    </row>
    <row r="37" spans="3:16">
      <c r="C37">
        <v>33</v>
      </c>
      <c r="D37">
        <v>130384</v>
      </c>
      <c r="E37">
        <f t="shared" si="3"/>
        <v>130.38399999999999</v>
      </c>
      <c r="F37">
        <f t="shared" ref="F37:F54" si="6">E37*10</f>
        <v>1303.8399999999999</v>
      </c>
      <c r="H37">
        <v>33</v>
      </c>
      <c r="I37">
        <v>58600</v>
      </c>
      <c r="J37">
        <f t="shared" si="1"/>
        <v>58.6</v>
      </c>
      <c r="K37">
        <f t="shared" si="2"/>
        <v>586</v>
      </c>
      <c r="M37">
        <v>33</v>
      </c>
      <c r="N37">
        <v>79404</v>
      </c>
      <c r="O37">
        <f t="shared" si="4"/>
        <v>79.403999999999996</v>
      </c>
      <c r="P37">
        <f t="shared" si="5"/>
        <v>794.04</v>
      </c>
    </row>
    <row r="38" spans="3:16">
      <c r="C38">
        <v>34</v>
      </c>
      <c r="D38">
        <v>62626</v>
      </c>
      <c r="E38">
        <f t="shared" si="3"/>
        <v>62.625999999999998</v>
      </c>
      <c r="F38">
        <f t="shared" si="6"/>
        <v>626.26</v>
      </c>
      <c r="H38">
        <v>34</v>
      </c>
      <c r="I38">
        <v>74632</v>
      </c>
      <c r="J38">
        <f t="shared" si="1"/>
        <v>74.632000000000005</v>
      </c>
      <c r="K38">
        <f t="shared" si="2"/>
        <v>746.32</v>
      </c>
      <c r="M38">
        <v>34</v>
      </c>
      <c r="N38">
        <v>47011</v>
      </c>
      <c r="O38">
        <f t="shared" si="4"/>
        <v>47.011000000000003</v>
      </c>
      <c r="P38">
        <f t="shared" si="5"/>
        <v>470.11</v>
      </c>
    </row>
    <row r="39" spans="3:16">
      <c r="C39">
        <v>35</v>
      </c>
      <c r="D39">
        <v>49051</v>
      </c>
      <c r="E39">
        <f t="shared" si="3"/>
        <v>49.051000000000002</v>
      </c>
      <c r="F39">
        <f t="shared" si="6"/>
        <v>490.51</v>
      </c>
      <c r="H39">
        <v>35</v>
      </c>
      <c r="I39">
        <v>128845</v>
      </c>
      <c r="J39">
        <f t="shared" si="1"/>
        <v>128.845</v>
      </c>
      <c r="K39">
        <f t="shared" si="2"/>
        <v>1288.45</v>
      </c>
      <c r="M39">
        <v>35</v>
      </c>
      <c r="N39">
        <v>75690</v>
      </c>
      <c r="O39">
        <f t="shared" si="4"/>
        <v>75.69</v>
      </c>
      <c r="P39">
        <f t="shared" si="5"/>
        <v>756.9</v>
      </c>
    </row>
    <row r="40" spans="3:16">
      <c r="C40">
        <v>36</v>
      </c>
      <c r="D40">
        <v>107564</v>
      </c>
      <c r="E40">
        <f t="shared" si="3"/>
        <v>107.56399999999999</v>
      </c>
      <c r="F40">
        <f t="shared" si="6"/>
        <v>1075.6399999999999</v>
      </c>
      <c r="H40">
        <v>36</v>
      </c>
      <c r="I40">
        <v>85422</v>
      </c>
      <c r="J40">
        <f t="shared" si="1"/>
        <v>85.421999999999997</v>
      </c>
      <c r="K40">
        <f t="shared" si="2"/>
        <v>854.22</v>
      </c>
      <c r="M40">
        <v>36</v>
      </c>
      <c r="N40">
        <v>51614</v>
      </c>
      <c r="O40">
        <f t="shared" si="4"/>
        <v>51.613999999999997</v>
      </c>
      <c r="P40">
        <f t="shared" si="5"/>
        <v>516.14</v>
      </c>
    </row>
    <row r="41" spans="3:16">
      <c r="C41">
        <v>37</v>
      </c>
      <c r="D41">
        <v>51264</v>
      </c>
      <c r="E41">
        <f t="shared" si="3"/>
        <v>51.264000000000003</v>
      </c>
      <c r="F41">
        <f t="shared" si="6"/>
        <v>512.64</v>
      </c>
      <c r="H41">
        <v>37</v>
      </c>
      <c r="I41">
        <v>97015</v>
      </c>
      <c r="J41">
        <f t="shared" si="1"/>
        <v>97.015000000000001</v>
      </c>
      <c r="K41">
        <f t="shared" si="2"/>
        <v>970.15</v>
      </c>
      <c r="M41">
        <v>37</v>
      </c>
      <c r="N41">
        <v>45177</v>
      </c>
      <c r="O41">
        <f t="shared" si="4"/>
        <v>45.177</v>
      </c>
      <c r="P41">
        <f t="shared" si="5"/>
        <v>451.77</v>
      </c>
    </row>
    <row r="42" spans="3:16">
      <c r="C42">
        <v>38</v>
      </c>
      <c r="D42">
        <v>108894</v>
      </c>
      <c r="E42">
        <f t="shared" si="3"/>
        <v>108.89400000000001</v>
      </c>
      <c r="F42">
        <f t="shared" si="6"/>
        <v>1088.94</v>
      </c>
      <c r="H42">
        <v>38</v>
      </c>
      <c r="I42">
        <v>98112</v>
      </c>
      <c r="J42">
        <f t="shared" si="1"/>
        <v>98.111999999999995</v>
      </c>
      <c r="K42">
        <f t="shared" si="2"/>
        <v>981.11999999999989</v>
      </c>
      <c r="M42">
        <v>38</v>
      </c>
      <c r="N42">
        <v>59816</v>
      </c>
      <c r="O42">
        <f t="shared" si="4"/>
        <v>59.816000000000003</v>
      </c>
      <c r="P42">
        <f t="shared" si="5"/>
        <v>598.16000000000008</v>
      </c>
    </row>
    <row r="43" spans="3:16">
      <c r="C43">
        <v>39</v>
      </c>
      <c r="D43">
        <v>64327</v>
      </c>
      <c r="E43">
        <f t="shared" si="3"/>
        <v>64.326999999999998</v>
      </c>
      <c r="F43">
        <f t="shared" si="6"/>
        <v>643.27</v>
      </c>
      <c r="H43">
        <v>39</v>
      </c>
      <c r="I43">
        <v>82280</v>
      </c>
      <c r="J43">
        <f t="shared" si="1"/>
        <v>82.28</v>
      </c>
      <c r="K43">
        <f t="shared" si="2"/>
        <v>822.8</v>
      </c>
      <c r="M43">
        <v>39</v>
      </c>
      <c r="N43">
        <v>35903</v>
      </c>
      <c r="O43">
        <f t="shared" si="4"/>
        <v>35.902999999999999</v>
      </c>
      <c r="P43">
        <f t="shared" si="5"/>
        <v>359.03</v>
      </c>
    </row>
    <row r="44" spans="3:16">
      <c r="C44">
        <v>40</v>
      </c>
      <c r="D44">
        <v>102956</v>
      </c>
      <c r="E44">
        <f t="shared" si="3"/>
        <v>102.956</v>
      </c>
      <c r="F44">
        <f t="shared" si="6"/>
        <v>1029.56</v>
      </c>
      <c r="H44">
        <v>40</v>
      </c>
      <c r="I44">
        <v>60681</v>
      </c>
      <c r="J44">
        <f t="shared" si="1"/>
        <v>60.680999999999997</v>
      </c>
      <c r="K44">
        <f t="shared" si="2"/>
        <v>606.80999999999995</v>
      </c>
      <c r="M44">
        <v>40</v>
      </c>
      <c r="N44">
        <v>50249</v>
      </c>
      <c r="O44">
        <f t="shared" si="4"/>
        <v>50.249000000000002</v>
      </c>
      <c r="P44">
        <f t="shared" si="5"/>
        <v>502.49</v>
      </c>
    </row>
    <row r="45" spans="3:16">
      <c r="C45">
        <v>41</v>
      </c>
      <c r="D45">
        <v>73007</v>
      </c>
      <c r="E45">
        <f t="shared" si="3"/>
        <v>73.007000000000005</v>
      </c>
      <c r="F45">
        <f t="shared" si="6"/>
        <v>730.07</v>
      </c>
      <c r="H45">
        <v>41</v>
      </c>
      <c r="I45">
        <v>115213</v>
      </c>
      <c r="J45">
        <f t="shared" si="1"/>
        <v>115.21299999999999</v>
      </c>
      <c r="K45">
        <f t="shared" si="2"/>
        <v>1152.1299999999999</v>
      </c>
      <c r="M45">
        <v>41</v>
      </c>
      <c r="N45">
        <v>42804</v>
      </c>
      <c r="O45">
        <f t="shared" si="4"/>
        <v>42.804000000000002</v>
      </c>
      <c r="P45">
        <f t="shared" si="5"/>
        <v>428.04</v>
      </c>
    </row>
    <row r="46" spans="3:16">
      <c r="C46">
        <v>42</v>
      </c>
      <c r="D46">
        <v>96313</v>
      </c>
      <c r="E46">
        <f t="shared" si="3"/>
        <v>96.313000000000002</v>
      </c>
      <c r="F46">
        <f t="shared" si="6"/>
        <v>963.13</v>
      </c>
      <c r="H46">
        <v>42</v>
      </c>
      <c r="I46">
        <v>59464</v>
      </c>
      <c r="J46">
        <f t="shared" si="1"/>
        <v>59.463999999999999</v>
      </c>
      <c r="K46">
        <f t="shared" si="2"/>
        <v>594.64</v>
      </c>
      <c r="M46">
        <v>42</v>
      </c>
      <c r="N46">
        <v>49563</v>
      </c>
      <c r="O46">
        <f t="shared" si="4"/>
        <v>49.563000000000002</v>
      </c>
      <c r="P46">
        <f t="shared" si="5"/>
        <v>495.63</v>
      </c>
    </row>
    <row r="47" spans="3:16">
      <c r="C47">
        <v>43</v>
      </c>
      <c r="D47">
        <v>172186</v>
      </c>
      <c r="E47">
        <f t="shared" si="3"/>
        <v>172.18600000000001</v>
      </c>
      <c r="F47">
        <f t="shared" si="6"/>
        <v>1721.8600000000001</v>
      </c>
      <c r="H47">
        <v>43</v>
      </c>
      <c r="I47">
        <v>87006</v>
      </c>
      <c r="J47">
        <f t="shared" si="1"/>
        <v>87.006</v>
      </c>
      <c r="K47">
        <f t="shared" si="2"/>
        <v>870.06</v>
      </c>
      <c r="M47">
        <v>43</v>
      </c>
      <c r="N47">
        <v>65966</v>
      </c>
      <c r="O47">
        <f t="shared" si="4"/>
        <v>65.965999999999994</v>
      </c>
      <c r="P47">
        <f t="shared" si="5"/>
        <v>659.66</v>
      </c>
    </row>
    <row r="48" spans="3:16">
      <c r="C48">
        <v>44</v>
      </c>
      <c r="D48">
        <v>131674</v>
      </c>
      <c r="E48">
        <f t="shared" si="3"/>
        <v>131.67400000000001</v>
      </c>
      <c r="F48">
        <f t="shared" si="6"/>
        <v>1316.74</v>
      </c>
      <c r="H48">
        <v>44</v>
      </c>
      <c r="I48">
        <v>57280</v>
      </c>
      <c r="J48">
        <f t="shared" si="1"/>
        <v>57.28</v>
      </c>
      <c r="K48">
        <f t="shared" si="2"/>
        <v>572.79999999999995</v>
      </c>
      <c r="M48">
        <v>44</v>
      </c>
      <c r="N48">
        <v>44643</v>
      </c>
      <c r="O48">
        <f t="shared" si="4"/>
        <v>44.643000000000001</v>
      </c>
      <c r="P48">
        <f t="shared" si="5"/>
        <v>446.43</v>
      </c>
    </row>
    <row r="49" spans="3:18">
      <c r="C49">
        <v>45</v>
      </c>
      <c r="D49">
        <v>112872</v>
      </c>
      <c r="E49">
        <f t="shared" si="3"/>
        <v>112.872</v>
      </c>
      <c r="F49">
        <f t="shared" si="6"/>
        <v>1128.72</v>
      </c>
      <c r="H49">
        <v>45</v>
      </c>
      <c r="I49">
        <v>55109</v>
      </c>
      <c r="J49">
        <f t="shared" si="1"/>
        <v>55.109000000000002</v>
      </c>
      <c r="K49">
        <f t="shared" si="2"/>
        <v>551.09</v>
      </c>
      <c r="M49">
        <v>45</v>
      </c>
      <c r="N49">
        <v>36056</v>
      </c>
      <c r="O49">
        <f t="shared" si="4"/>
        <v>36.055999999999997</v>
      </c>
      <c r="P49">
        <f t="shared" si="5"/>
        <v>360.55999999999995</v>
      </c>
    </row>
    <row r="50" spans="3:18">
      <c r="C50">
        <v>46</v>
      </c>
      <c r="D50">
        <v>55902</v>
      </c>
      <c r="E50">
        <f t="shared" si="3"/>
        <v>55.902000000000001</v>
      </c>
      <c r="F50">
        <f t="shared" si="6"/>
        <v>559.02</v>
      </c>
      <c r="H50">
        <v>46</v>
      </c>
      <c r="I50">
        <v>108772</v>
      </c>
      <c r="J50">
        <f t="shared" si="1"/>
        <v>108.77200000000001</v>
      </c>
      <c r="K50">
        <f t="shared" si="2"/>
        <v>1087.72</v>
      </c>
      <c r="M50">
        <v>46</v>
      </c>
      <c r="N50">
        <v>54745</v>
      </c>
      <c r="O50">
        <f t="shared" si="4"/>
        <v>54.744999999999997</v>
      </c>
      <c r="P50">
        <f t="shared" si="5"/>
        <v>547.44999999999993</v>
      </c>
    </row>
    <row r="51" spans="3:18">
      <c r="C51">
        <v>47</v>
      </c>
      <c r="D51">
        <v>43463</v>
      </c>
      <c r="E51">
        <f t="shared" si="3"/>
        <v>43.463000000000001</v>
      </c>
      <c r="F51">
        <f t="shared" si="6"/>
        <v>434.63</v>
      </c>
      <c r="H51">
        <v>47</v>
      </c>
      <c r="I51">
        <v>58830</v>
      </c>
      <c r="J51">
        <f t="shared" si="1"/>
        <v>58.83</v>
      </c>
      <c r="K51">
        <f t="shared" si="2"/>
        <v>588.29999999999995</v>
      </c>
      <c r="M51">
        <v>47</v>
      </c>
      <c r="N51">
        <v>66370</v>
      </c>
      <c r="O51">
        <f t="shared" si="4"/>
        <v>66.37</v>
      </c>
      <c r="P51">
        <f t="shared" si="5"/>
        <v>663.7</v>
      </c>
    </row>
    <row r="52" spans="3:18">
      <c r="C52">
        <v>48</v>
      </c>
      <c r="D52">
        <v>92439</v>
      </c>
      <c r="E52">
        <f t="shared" si="3"/>
        <v>92.438999999999993</v>
      </c>
      <c r="F52">
        <f t="shared" si="6"/>
        <v>924.38999999999987</v>
      </c>
      <c r="H52">
        <v>48</v>
      </c>
      <c r="I52">
        <v>186094</v>
      </c>
      <c r="J52">
        <f t="shared" si="1"/>
        <v>186.09399999999999</v>
      </c>
      <c r="K52">
        <f t="shared" si="2"/>
        <v>1860.94</v>
      </c>
      <c r="M52">
        <v>48</v>
      </c>
      <c r="N52">
        <v>45486</v>
      </c>
      <c r="O52">
        <f t="shared" si="4"/>
        <v>45.485999999999997</v>
      </c>
      <c r="P52">
        <f t="shared" si="5"/>
        <v>454.85999999999996</v>
      </c>
    </row>
    <row r="53" spans="3:18">
      <c r="C53">
        <v>49</v>
      </c>
      <c r="D53">
        <v>209073</v>
      </c>
      <c r="E53">
        <f t="shared" si="3"/>
        <v>209.07300000000001</v>
      </c>
      <c r="F53">
        <f t="shared" si="6"/>
        <v>2090.73</v>
      </c>
      <c r="H53">
        <v>49</v>
      </c>
      <c r="I53">
        <v>62298</v>
      </c>
      <c r="J53">
        <f t="shared" si="1"/>
        <v>62.298000000000002</v>
      </c>
      <c r="K53">
        <f t="shared" si="2"/>
        <v>622.98</v>
      </c>
      <c r="M53">
        <v>49</v>
      </c>
      <c r="N53">
        <v>121248</v>
      </c>
      <c r="O53">
        <f t="shared" si="4"/>
        <v>121.248</v>
      </c>
      <c r="P53">
        <f t="shared" si="5"/>
        <v>1212.48</v>
      </c>
    </row>
    <row r="54" spans="3:18">
      <c r="C54">
        <v>50</v>
      </c>
      <c r="D54">
        <v>82462</v>
      </c>
      <c r="E54">
        <f t="shared" si="3"/>
        <v>82.462000000000003</v>
      </c>
      <c r="F54">
        <f t="shared" si="6"/>
        <v>824.62</v>
      </c>
      <c r="H54">
        <v>50</v>
      </c>
      <c r="I54">
        <v>55803</v>
      </c>
      <c r="J54">
        <f t="shared" si="1"/>
        <v>55.802999999999997</v>
      </c>
      <c r="K54">
        <f t="shared" si="2"/>
        <v>558.03</v>
      </c>
      <c r="M54">
        <v>50</v>
      </c>
      <c r="N54">
        <v>42804</v>
      </c>
      <c r="O54">
        <f t="shared" si="4"/>
        <v>42.804000000000002</v>
      </c>
      <c r="P54">
        <f t="shared" si="5"/>
        <v>428.04</v>
      </c>
    </row>
    <row r="57" spans="3:18">
      <c r="C57" t="s">
        <v>26</v>
      </c>
      <c r="D57">
        <f>AVERAGE(D5:D54)</f>
        <v>93503.54</v>
      </c>
      <c r="E57">
        <f t="shared" ref="E57:P57" si="7">AVERAGE(E5:E54)</f>
        <v>93.503540000000044</v>
      </c>
      <c r="F57">
        <f t="shared" si="7"/>
        <v>935.03539999999998</v>
      </c>
      <c r="H57" t="s">
        <v>26</v>
      </c>
      <c r="I57">
        <f t="shared" si="7"/>
        <v>89136.320000000007</v>
      </c>
      <c r="J57">
        <f t="shared" si="7"/>
        <v>89.136319999999998</v>
      </c>
      <c r="K57">
        <f t="shared" si="7"/>
        <v>891.36320000000023</v>
      </c>
      <c r="M57" t="s">
        <v>26</v>
      </c>
      <c r="N57">
        <f t="shared" si="7"/>
        <v>68195.48</v>
      </c>
      <c r="O57">
        <f t="shared" si="7"/>
        <v>68.195480000000003</v>
      </c>
      <c r="P57">
        <f t="shared" si="7"/>
        <v>681.95480000000043</v>
      </c>
      <c r="R57" t="s">
        <v>107</v>
      </c>
    </row>
    <row r="58" spans="3:18">
      <c r="C58" t="s">
        <v>38</v>
      </c>
      <c r="D58">
        <f>MIN(D5:D54)</f>
        <v>37154</v>
      </c>
      <c r="E58">
        <f t="shared" ref="E58:P58" si="8">MIN(E5:E54)</f>
        <v>37.154000000000003</v>
      </c>
      <c r="F58">
        <f t="shared" si="8"/>
        <v>371.54</v>
      </c>
      <c r="H58" t="s">
        <v>38</v>
      </c>
      <c r="I58">
        <f t="shared" si="8"/>
        <v>48010</v>
      </c>
      <c r="J58">
        <f t="shared" si="8"/>
        <v>48.01</v>
      </c>
      <c r="K58">
        <f t="shared" si="8"/>
        <v>480.09999999999997</v>
      </c>
      <c r="M58" t="s">
        <v>38</v>
      </c>
      <c r="N58">
        <f t="shared" si="8"/>
        <v>35903</v>
      </c>
      <c r="O58">
        <f t="shared" si="8"/>
        <v>35.902999999999999</v>
      </c>
      <c r="P58">
        <f t="shared" si="8"/>
        <v>359.03</v>
      </c>
      <c r="R58">
        <f>AVERAGE(P57,K57,F57)</f>
        <v>836.11780000000033</v>
      </c>
    </row>
    <row r="59" spans="3:18">
      <c r="C59" t="s">
        <v>39</v>
      </c>
      <c r="D59">
        <f>MAX(D5:D54)</f>
        <v>209073</v>
      </c>
      <c r="E59">
        <f t="shared" ref="E59:P59" si="9">MAX(E5:E54)</f>
        <v>209.07300000000001</v>
      </c>
      <c r="F59">
        <f t="shared" si="9"/>
        <v>2090.73</v>
      </c>
      <c r="H59" t="s">
        <v>39</v>
      </c>
      <c r="I59">
        <f t="shared" si="9"/>
        <v>210693</v>
      </c>
      <c r="J59">
        <f t="shared" si="9"/>
        <v>210.69300000000001</v>
      </c>
      <c r="K59">
        <f t="shared" si="9"/>
        <v>2106.9300000000003</v>
      </c>
      <c r="M59" t="s">
        <v>39</v>
      </c>
      <c r="N59">
        <f t="shared" si="9"/>
        <v>127142</v>
      </c>
      <c r="O59">
        <f t="shared" si="9"/>
        <v>127.142</v>
      </c>
      <c r="P59">
        <f t="shared" si="9"/>
        <v>1271.42</v>
      </c>
      <c r="R59" t="s">
        <v>108</v>
      </c>
    </row>
    <row r="60" spans="3:18">
      <c r="C60" t="s">
        <v>113</v>
      </c>
      <c r="D60">
        <f>_xlfn.STDEV.S(D5:D54)</f>
        <v>44604.796329547433</v>
      </c>
      <c r="E60">
        <f t="shared" ref="E60:F60" si="10">_xlfn.STDEV.S(E5:E54)</f>
        <v>44.60479632954732</v>
      </c>
      <c r="F60">
        <f t="shared" si="10"/>
        <v>446.04796329547406</v>
      </c>
      <c r="H60" t="s">
        <v>113</v>
      </c>
      <c r="I60">
        <f>_xlfn.STDEV.S(I5:I54)</f>
        <v>34736.392907468689</v>
      </c>
      <c r="J60">
        <f t="shared" ref="J60:P60" si="11">_xlfn.STDEV.S(J5:J54)</f>
        <v>34.736392907468684</v>
      </c>
      <c r="K60">
        <f t="shared" si="11"/>
        <v>347.36392907468633</v>
      </c>
      <c r="M60" t="s">
        <v>113</v>
      </c>
      <c r="N60">
        <f t="shared" si="11"/>
        <v>21787.004054786088</v>
      </c>
      <c r="O60">
        <f t="shared" si="11"/>
        <v>21.787004054786074</v>
      </c>
      <c r="P60">
        <f t="shared" si="11"/>
        <v>217.87004054785993</v>
      </c>
      <c r="R60">
        <f>_xlfn.STDEV.S(F5:F54,K5:K54,P5:P54)</f>
        <v>364.69581833895427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46"/>
  <sheetViews>
    <sheetView workbookViewId="0">
      <selection activeCell="A6" sqref="A6"/>
    </sheetView>
  </sheetViews>
  <sheetFormatPr baseColWidth="10" defaultRowHeight="15"/>
  <sheetData>
    <row r="1" spans="1:19">
      <c r="A1" s="8" t="s">
        <v>129</v>
      </c>
      <c r="H1" s="8" t="s">
        <v>131</v>
      </c>
      <c r="M1" s="8" t="s">
        <v>132</v>
      </c>
    </row>
    <row r="2" spans="1:19" ht="19" customHeight="1">
      <c r="A2" s="8" t="s">
        <v>130</v>
      </c>
      <c r="B2" t="s">
        <v>139</v>
      </c>
      <c r="H2" t="s">
        <v>140</v>
      </c>
      <c r="M2" t="s">
        <v>141</v>
      </c>
    </row>
    <row r="3" spans="1:19">
      <c r="B3" t="s">
        <v>20</v>
      </c>
      <c r="D3" t="s">
        <v>21</v>
      </c>
      <c r="H3" t="s">
        <v>20</v>
      </c>
      <c r="J3" t="s">
        <v>21</v>
      </c>
      <c r="M3" t="s">
        <v>32</v>
      </c>
      <c r="N3" t="s">
        <v>20</v>
      </c>
      <c r="P3" t="s">
        <v>21</v>
      </c>
    </row>
    <row r="4" spans="1:19">
      <c r="A4">
        <v>1</v>
      </c>
      <c r="B4">
        <v>97658</v>
      </c>
      <c r="C4">
        <f>B4/1000</f>
        <v>97.658000000000001</v>
      </c>
      <c r="D4">
        <f>C4*13.38</f>
        <v>1306.6640400000001</v>
      </c>
      <c r="G4">
        <v>1</v>
      </c>
      <c r="H4">
        <v>153065</v>
      </c>
      <c r="I4">
        <f>H4/1000</f>
        <v>153.065</v>
      </c>
      <c r="J4">
        <f>I4*13.38</f>
        <v>2048.0097000000001</v>
      </c>
      <c r="M4">
        <v>1</v>
      </c>
      <c r="N4">
        <v>135059</v>
      </c>
      <c r="O4">
        <f>N4/1000</f>
        <v>135.059</v>
      </c>
      <c r="P4">
        <f>O4*13.38</f>
        <v>1807.08942</v>
      </c>
      <c r="R4" s="55" t="s">
        <v>73</v>
      </c>
      <c r="S4" s="56"/>
    </row>
    <row r="5" spans="1:19">
      <c r="A5">
        <v>2</v>
      </c>
      <c r="B5">
        <v>137277</v>
      </c>
      <c r="C5">
        <f t="shared" ref="C5:C53" si="0">B5/1000</f>
        <v>137.27699999999999</v>
      </c>
      <c r="D5">
        <f t="shared" ref="D5:D53" si="1">C5*13.38</f>
        <v>1836.7662599999999</v>
      </c>
      <c r="G5">
        <v>2</v>
      </c>
      <c r="H5">
        <v>114909</v>
      </c>
      <c r="I5">
        <f t="shared" ref="I5:I53" si="2">H5/1000</f>
        <v>114.90900000000001</v>
      </c>
      <c r="J5">
        <f t="shared" ref="J5:J53" si="3">I5*13.38</f>
        <v>1537.4824200000003</v>
      </c>
      <c r="M5">
        <v>2</v>
      </c>
      <c r="N5">
        <v>108116</v>
      </c>
      <c r="O5">
        <f t="shared" ref="O5:O53" si="4">N5/1000</f>
        <v>108.116</v>
      </c>
      <c r="P5">
        <f t="shared" ref="P5:P53" si="5">O5*13.38</f>
        <v>1446.5920800000001</v>
      </c>
      <c r="R5" s="57">
        <v>36.5</v>
      </c>
      <c r="S5" s="58">
        <v>475</v>
      </c>
    </row>
    <row r="6" spans="1:19">
      <c r="A6">
        <v>3</v>
      </c>
      <c r="B6">
        <v>114280</v>
      </c>
      <c r="C6">
        <f t="shared" si="0"/>
        <v>114.28</v>
      </c>
      <c r="D6">
        <f t="shared" si="1"/>
        <v>1529.0664000000002</v>
      </c>
      <c r="G6">
        <v>3</v>
      </c>
      <c r="H6">
        <v>88119</v>
      </c>
      <c r="I6">
        <f t="shared" si="2"/>
        <v>88.119</v>
      </c>
      <c r="J6">
        <f t="shared" si="3"/>
        <v>1179.0322200000001</v>
      </c>
      <c r="M6">
        <v>3</v>
      </c>
      <c r="N6">
        <v>63411</v>
      </c>
      <c r="O6">
        <f t="shared" si="4"/>
        <v>63.411000000000001</v>
      </c>
      <c r="P6">
        <f t="shared" si="5"/>
        <v>848.43918000000008</v>
      </c>
      <c r="R6" s="59">
        <v>1</v>
      </c>
      <c r="S6" s="60">
        <f>S5/35.5</f>
        <v>13.380281690140846</v>
      </c>
    </row>
    <row r="7" spans="1:19">
      <c r="A7">
        <v>4</v>
      </c>
      <c r="B7">
        <v>186682</v>
      </c>
      <c r="C7">
        <f t="shared" si="0"/>
        <v>186.68199999999999</v>
      </c>
      <c r="D7">
        <f t="shared" si="1"/>
        <v>2497.8051599999999</v>
      </c>
      <c r="G7">
        <v>4</v>
      </c>
      <c r="H7">
        <v>224423</v>
      </c>
      <c r="I7">
        <f t="shared" si="2"/>
        <v>224.423</v>
      </c>
      <c r="J7">
        <f t="shared" si="3"/>
        <v>3002.7797400000004</v>
      </c>
      <c r="M7">
        <v>4</v>
      </c>
      <c r="N7">
        <v>112929</v>
      </c>
      <c r="O7">
        <f t="shared" si="4"/>
        <v>112.929</v>
      </c>
      <c r="P7">
        <f t="shared" si="5"/>
        <v>1510.9900200000002</v>
      </c>
    </row>
    <row r="8" spans="1:19">
      <c r="A8">
        <v>5</v>
      </c>
      <c r="B8">
        <v>280945</v>
      </c>
      <c r="C8">
        <f t="shared" si="0"/>
        <v>280.94499999999999</v>
      </c>
      <c r="D8">
        <f t="shared" si="1"/>
        <v>3759.0441000000001</v>
      </c>
      <c r="G8">
        <v>5</v>
      </c>
      <c r="H8">
        <v>149482</v>
      </c>
      <c r="I8">
        <f t="shared" si="2"/>
        <v>149.482</v>
      </c>
      <c r="J8">
        <f t="shared" si="3"/>
        <v>2000.06916</v>
      </c>
      <c r="M8">
        <v>5</v>
      </c>
      <c r="N8">
        <v>93343</v>
      </c>
      <c r="O8">
        <f t="shared" si="4"/>
        <v>93.343000000000004</v>
      </c>
      <c r="P8">
        <f t="shared" si="5"/>
        <v>1248.9293400000001</v>
      </c>
    </row>
    <row r="9" spans="1:19">
      <c r="A9">
        <v>6</v>
      </c>
      <c r="B9">
        <v>115109</v>
      </c>
      <c r="C9">
        <f t="shared" si="0"/>
        <v>115.10899999999999</v>
      </c>
      <c r="D9">
        <f t="shared" si="1"/>
        <v>1540.15842</v>
      </c>
      <c r="G9">
        <v>6</v>
      </c>
      <c r="H9">
        <v>170007</v>
      </c>
      <c r="I9">
        <f t="shared" si="2"/>
        <v>170.00700000000001</v>
      </c>
      <c r="J9">
        <f t="shared" si="3"/>
        <v>2274.6936600000004</v>
      </c>
      <c r="M9">
        <v>6</v>
      </c>
      <c r="N9">
        <v>66219</v>
      </c>
      <c r="O9">
        <f t="shared" si="4"/>
        <v>66.218999999999994</v>
      </c>
      <c r="P9">
        <f t="shared" si="5"/>
        <v>886.01022</v>
      </c>
    </row>
    <row r="10" spans="1:19">
      <c r="A10">
        <v>7</v>
      </c>
      <c r="B10">
        <v>203407</v>
      </c>
      <c r="C10">
        <f t="shared" si="0"/>
        <v>203.40700000000001</v>
      </c>
      <c r="D10">
        <f t="shared" si="1"/>
        <v>2721.5856600000002</v>
      </c>
      <c r="G10">
        <v>7</v>
      </c>
      <c r="H10">
        <v>104043</v>
      </c>
      <c r="I10">
        <f t="shared" si="2"/>
        <v>104.04300000000001</v>
      </c>
      <c r="J10">
        <f t="shared" si="3"/>
        <v>1392.0953400000001</v>
      </c>
      <c r="M10">
        <v>7</v>
      </c>
      <c r="N10">
        <v>75584</v>
      </c>
      <c r="O10">
        <f t="shared" si="4"/>
        <v>75.584000000000003</v>
      </c>
      <c r="P10">
        <f t="shared" si="5"/>
        <v>1011.3139200000001</v>
      </c>
    </row>
    <row r="11" spans="1:19">
      <c r="A11">
        <v>8</v>
      </c>
      <c r="B11">
        <v>60141</v>
      </c>
      <c r="C11">
        <f t="shared" si="0"/>
        <v>60.140999999999998</v>
      </c>
      <c r="D11">
        <f t="shared" si="1"/>
        <v>804.68658000000005</v>
      </c>
      <c r="G11">
        <v>8</v>
      </c>
      <c r="H11">
        <v>197453</v>
      </c>
      <c r="I11">
        <f t="shared" si="2"/>
        <v>197.453</v>
      </c>
      <c r="J11">
        <f t="shared" si="3"/>
        <v>2641.9211400000004</v>
      </c>
      <c r="M11">
        <v>8</v>
      </c>
      <c r="N11">
        <v>239075</v>
      </c>
      <c r="O11">
        <f t="shared" si="4"/>
        <v>239.07499999999999</v>
      </c>
      <c r="P11">
        <f t="shared" si="5"/>
        <v>3198.8235</v>
      </c>
    </row>
    <row r="12" spans="1:19">
      <c r="A12">
        <v>9</v>
      </c>
      <c r="B12">
        <v>94831</v>
      </c>
      <c r="C12">
        <f t="shared" si="0"/>
        <v>94.831000000000003</v>
      </c>
      <c r="D12">
        <f t="shared" si="1"/>
        <v>1268.83878</v>
      </c>
      <c r="G12">
        <v>9</v>
      </c>
      <c r="H12">
        <v>169664</v>
      </c>
      <c r="I12">
        <f t="shared" si="2"/>
        <v>169.66399999999999</v>
      </c>
      <c r="J12">
        <f t="shared" si="3"/>
        <v>2270.1043199999999</v>
      </c>
      <c r="M12">
        <v>9</v>
      </c>
      <c r="N12">
        <v>218234</v>
      </c>
      <c r="O12">
        <f t="shared" si="4"/>
        <v>218.23400000000001</v>
      </c>
      <c r="P12">
        <f t="shared" si="5"/>
        <v>2919.9709200000002</v>
      </c>
    </row>
    <row r="13" spans="1:19">
      <c r="A13">
        <v>10</v>
      </c>
      <c r="B13">
        <v>65605</v>
      </c>
      <c r="C13">
        <f t="shared" si="0"/>
        <v>65.605000000000004</v>
      </c>
      <c r="D13">
        <f t="shared" si="1"/>
        <v>877.7949000000001</v>
      </c>
      <c r="G13">
        <v>10</v>
      </c>
      <c r="H13">
        <v>192925</v>
      </c>
      <c r="I13">
        <f t="shared" si="2"/>
        <v>192.92500000000001</v>
      </c>
      <c r="J13">
        <f t="shared" si="3"/>
        <v>2581.3365000000003</v>
      </c>
      <c r="M13">
        <v>10</v>
      </c>
      <c r="N13">
        <v>190633</v>
      </c>
      <c r="O13">
        <f t="shared" si="4"/>
        <v>190.63300000000001</v>
      </c>
      <c r="P13">
        <f t="shared" si="5"/>
        <v>2550.6695400000003</v>
      </c>
    </row>
    <row r="14" spans="1:19">
      <c r="A14">
        <v>11</v>
      </c>
      <c r="B14">
        <v>162003</v>
      </c>
      <c r="C14">
        <f t="shared" si="0"/>
        <v>162.00299999999999</v>
      </c>
      <c r="D14">
        <f t="shared" si="1"/>
        <v>2167.60014</v>
      </c>
      <c r="G14">
        <v>11</v>
      </c>
      <c r="H14">
        <v>102343</v>
      </c>
      <c r="I14">
        <f t="shared" si="2"/>
        <v>102.343</v>
      </c>
      <c r="J14">
        <f t="shared" si="3"/>
        <v>1369.3493400000002</v>
      </c>
      <c r="M14">
        <v>11</v>
      </c>
      <c r="N14">
        <v>142394</v>
      </c>
      <c r="O14">
        <f t="shared" si="4"/>
        <v>142.39400000000001</v>
      </c>
      <c r="P14">
        <f t="shared" si="5"/>
        <v>1905.2317200000002</v>
      </c>
    </row>
    <row r="15" spans="1:19">
      <c r="A15">
        <v>12</v>
      </c>
      <c r="B15">
        <v>129402</v>
      </c>
      <c r="C15">
        <f t="shared" si="0"/>
        <v>129.40199999999999</v>
      </c>
      <c r="D15">
        <f t="shared" si="1"/>
        <v>1731.3987599999998</v>
      </c>
      <c r="G15">
        <v>12</v>
      </c>
      <c r="H15">
        <v>168428</v>
      </c>
      <c r="I15">
        <f t="shared" si="2"/>
        <v>168.428</v>
      </c>
      <c r="J15">
        <f t="shared" si="3"/>
        <v>2253.56664</v>
      </c>
      <c r="M15">
        <v>12</v>
      </c>
      <c r="N15">
        <v>94021</v>
      </c>
      <c r="O15">
        <f t="shared" si="4"/>
        <v>94.021000000000001</v>
      </c>
      <c r="P15">
        <f t="shared" si="5"/>
        <v>1258.00098</v>
      </c>
    </row>
    <row r="16" spans="1:19">
      <c r="A16">
        <v>13</v>
      </c>
      <c r="B16">
        <v>130361</v>
      </c>
      <c r="C16">
        <f t="shared" si="0"/>
        <v>130.36099999999999</v>
      </c>
      <c r="D16">
        <f t="shared" si="1"/>
        <v>1744.23018</v>
      </c>
      <c r="G16">
        <v>13</v>
      </c>
      <c r="H16">
        <v>185335</v>
      </c>
      <c r="I16">
        <f t="shared" si="2"/>
        <v>185.33500000000001</v>
      </c>
      <c r="J16">
        <f t="shared" si="3"/>
        <v>2479.7823000000003</v>
      </c>
      <c r="M16">
        <v>13</v>
      </c>
      <c r="N16">
        <v>85586</v>
      </c>
      <c r="O16">
        <f t="shared" si="4"/>
        <v>85.585999999999999</v>
      </c>
      <c r="P16">
        <f t="shared" si="5"/>
        <v>1145.14068</v>
      </c>
    </row>
    <row r="17" spans="1:16">
      <c r="A17">
        <v>14</v>
      </c>
      <c r="B17">
        <v>235934</v>
      </c>
      <c r="C17">
        <f t="shared" si="0"/>
        <v>235.934</v>
      </c>
      <c r="D17">
        <f t="shared" si="1"/>
        <v>3156.7969200000002</v>
      </c>
      <c r="G17">
        <v>14</v>
      </c>
      <c r="H17">
        <v>232009</v>
      </c>
      <c r="I17">
        <f t="shared" si="2"/>
        <v>232.00899999999999</v>
      </c>
      <c r="J17">
        <f t="shared" si="3"/>
        <v>3104.28042</v>
      </c>
      <c r="M17">
        <v>14</v>
      </c>
      <c r="N17">
        <v>154392</v>
      </c>
      <c r="O17">
        <f t="shared" si="4"/>
        <v>154.392</v>
      </c>
      <c r="P17">
        <f t="shared" si="5"/>
        <v>2065.76496</v>
      </c>
    </row>
    <row r="18" spans="1:16">
      <c r="A18">
        <v>15</v>
      </c>
      <c r="B18">
        <v>119313</v>
      </c>
      <c r="C18">
        <f t="shared" si="0"/>
        <v>119.313</v>
      </c>
      <c r="D18">
        <f t="shared" si="1"/>
        <v>1596.4079400000001</v>
      </c>
      <c r="G18">
        <v>15</v>
      </c>
      <c r="H18">
        <v>194003</v>
      </c>
      <c r="I18">
        <f t="shared" si="2"/>
        <v>194.00299999999999</v>
      </c>
      <c r="J18">
        <f t="shared" si="3"/>
        <v>2595.7601399999999</v>
      </c>
      <c r="M18">
        <v>15</v>
      </c>
      <c r="N18">
        <v>197101</v>
      </c>
      <c r="O18">
        <f t="shared" si="4"/>
        <v>197.101</v>
      </c>
      <c r="P18">
        <f t="shared" si="5"/>
        <v>2637.2113800000002</v>
      </c>
    </row>
    <row r="19" spans="1:16">
      <c r="A19">
        <v>16</v>
      </c>
      <c r="B19">
        <v>169594</v>
      </c>
      <c r="C19">
        <f t="shared" si="0"/>
        <v>169.59399999999999</v>
      </c>
      <c r="D19">
        <f t="shared" si="1"/>
        <v>2269.1677199999999</v>
      </c>
      <c r="G19">
        <v>16</v>
      </c>
      <c r="H19">
        <v>136015</v>
      </c>
      <c r="I19">
        <f t="shared" si="2"/>
        <v>136.01499999999999</v>
      </c>
      <c r="J19">
        <f t="shared" si="3"/>
        <v>1819.8806999999999</v>
      </c>
      <c r="M19">
        <v>16</v>
      </c>
      <c r="N19">
        <v>194535</v>
      </c>
      <c r="O19">
        <f t="shared" si="4"/>
        <v>194.535</v>
      </c>
      <c r="P19">
        <f t="shared" si="5"/>
        <v>2602.8783000000003</v>
      </c>
    </row>
    <row r="20" spans="1:16">
      <c r="A20">
        <v>17</v>
      </c>
      <c r="B20">
        <v>72111</v>
      </c>
      <c r="C20">
        <f t="shared" si="0"/>
        <v>72.111000000000004</v>
      </c>
      <c r="D20">
        <f t="shared" si="1"/>
        <v>964.84518000000014</v>
      </c>
      <c r="G20">
        <v>17</v>
      </c>
      <c r="H20">
        <v>102044</v>
      </c>
      <c r="I20">
        <f t="shared" si="2"/>
        <v>102.044</v>
      </c>
      <c r="J20">
        <f t="shared" si="3"/>
        <v>1365.34872</v>
      </c>
      <c r="M20">
        <v>17</v>
      </c>
      <c r="N20">
        <v>137295</v>
      </c>
      <c r="O20">
        <f t="shared" si="4"/>
        <v>137.29499999999999</v>
      </c>
      <c r="P20">
        <f t="shared" si="5"/>
        <v>1837.0071</v>
      </c>
    </row>
    <row r="21" spans="1:16">
      <c r="A21">
        <v>18</v>
      </c>
      <c r="B21">
        <v>86215</v>
      </c>
      <c r="C21">
        <f t="shared" si="0"/>
        <v>86.215000000000003</v>
      </c>
      <c r="D21">
        <f t="shared" si="1"/>
        <v>1153.5567000000001</v>
      </c>
      <c r="G21">
        <v>18</v>
      </c>
      <c r="H21">
        <v>109110</v>
      </c>
      <c r="I21">
        <f t="shared" si="2"/>
        <v>109.11</v>
      </c>
      <c r="J21">
        <f t="shared" si="3"/>
        <v>1459.8918000000001</v>
      </c>
      <c r="M21">
        <v>18</v>
      </c>
      <c r="N21">
        <v>246984</v>
      </c>
      <c r="O21">
        <f t="shared" si="4"/>
        <v>246.98400000000001</v>
      </c>
      <c r="P21">
        <f t="shared" si="5"/>
        <v>3304.6459200000004</v>
      </c>
    </row>
    <row r="22" spans="1:16">
      <c r="A22">
        <v>19</v>
      </c>
      <c r="B22">
        <v>130096</v>
      </c>
      <c r="C22">
        <f t="shared" si="0"/>
        <v>130.096</v>
      </c>
      <c r="D22">
        <f t="shared" si="1"/>
        <v>1740.6844800000001</v>
      </c>
      <c r="G22">
        <v>19</v>
      </c>
      <c r="H22">
        <v>168502</v>
      </c>
      <c r="I22">
        <f t="shared" si="2"/>
        <v>168.50200000000001</v>
      </c>
      <c r="J22">
        <f t="shared" si="3"/>
        <v>2254.5567600000004</v>
      </c>
      <c r="M22">
        <v>19</v>
      </c>
      <c r="N22">
        <v>250460</v>
      </c>
      <c r="O22">
        <f t="shared" si="4"/>
        <v>250.46</v>
      </c>
      <c r="P22">
        <f t="shared" si="5"/>
        <v>3351.1548000000003</v>
      </c>
    </row>
    <row r="23" spans="1:16">
      <c r="A23">
        <v>20</v>
      </c>
      <c r="B23">
        <v>62610</v>
      </c>
      <c r="C23">
        <f t="shared" si="0"/>
        <v>62.61</v>
      </c>
      <c r="D23">
        <f t="shared" si="1"/>
        <v>837.72180000000003</v>
      </c>
      <c r="G23">
        <v>20</v>
      </c>
      <c r="H23">
        <v>165922</v>
      </c>
      <c r="I23">
        <f t="shared" si="2"/>
        <v>165.922</v>
      </c>
      <c r="J23">
        <f t="shared" si="3"/>
        <v>2220.0363600000001</v>
      </c>
      <c r="M23">
        <v>20</v>
      </c>
      <c r="N23">
        <v>151753</v>
      </c>
      <c r="O23">
        <f t="shared" si="4"/>
        <v>151.75299999999999</v>
      </c>
      <c r="P23">
        <f t="shared" si="5"/>
        <v>2030.45514</v>
      </c>
    </row>
    <row r="24" spans="1:16">
      <c r="A24">
        <v>21</v>
      </c>
      <c r="B24">
        <v>115554</v>
      </c>
      <c r="C24">
        <f t="shared" si="0"/>
        <v>115.554</v>
      </c>
      <c r="D24">
        <f t="shared" si="1"/>
        <v>1546.1125200000001</v>
      </c>
      <c r="G24">
        <v>21</v>
      </c>
      <c r="H24">
        <v>177792</v>
      </c>
      <c r="I24">
        <f t="shared" si="2"/>
        <v>177.792</v>
      </c>
      <c r="J24">
        <f t="shared" si="3"/>
        <v>2378.8569600000001</v>
      </c>
      <c r="M24">
        <v>21</v>
      </c>
      <c r="N24">
        <v>111072</v>
      </c>
      <c r="O24">
        <f t="shared" si="4"/>
        <v>111.072</v>
      </c>
      <c r="P24">
        <f t="shared" si="5"/>
        <v>1486.14336</v>
      </c>
    </row>
    <row r="25" spans="1:16">
      <c r="A25">
        <v>22</v>
      </c>
      <c r="B25">
        <v>118828</v>
      </c>
      <c r="C25">
        <f t="shared" si="0"/>
        <v>118.828</v>
      </c>
      <c r="D25">
        <f t="shared" si="1"/>
        <v>1589.9186400000001</v>
      </c>
      <c r="G25">
        <v>22</v>
      </c>
      <c r="H25">
        <v>185284</v>
      </c>
      <c r="I25">
        <f t="shared" si="2"/>
        <v>185.28399999999999</v>
      </c>
      <c r="J25">
        <f t="shared" si="3"/>
        <v>2479.0999200000001</v>
      </c>
      <c r="M25">
        <v>22</v>
      </c>
      <c r="N25">
        <v>252715</v>
      </c>
      <c r="O25">
        <f t="shared" si="4"/>
        <v>252.715</v>
      </c>
      <c r="P25">
        <f t="shared" si="5"/>
        <v>3381.3267000000001</v>
      </c>
    </row>
    <row r="26" spans="1:16">
      <c r="A26">
        <v>23</v>
      </c>
      <c r="B26">
        <v>68411</v>
      </c>
      <c r="C26">
        <f t="shared" si="0"/>
        <v>68.411000000000001</v>
      </c>
      <c r="D26">
        <f t="shared" si="1"/>
        <v>915.33918000000006</v>
      </c>
      <c r="G26">
        <v>23</v>
      </c>
      <c r="H26">
        <v>58600</v>
      </c>
      <c r="I26">
        <f t="shared" si="2"/>
        <v>58.6</v>
      </c>
      <c r="J26">
        <f t="shared" si="3"/>
        <v>784.0680000000001</v>
      </c>
      <c r="M26">
        <v>23</v>
      </c>
      <c r="N26">
        <v>210343</v>
      </c>
      <c r="O26">
        <f t="shared" si="4"/>
        <v>210.34299999999999</v>
      </c>
      <c r="P26">
        <f t="shared" si="5"/>
        <v>2814.3893400000002</v>
      </c>
    </row>
    <row r="27" spans="1:16">
      <c r="A27">
        <v>24</v>
      </c>
      <c r="B27">
        <v>38639</v>
      </c>
      <c r="C27">
        <f t="shared" si="0"/>
        <v>38.639000000000003</v>
      </c>
      <c r="D27">
        <f t="shared" si="1"/>
        <v>516.98982000000012</v>
      </c>
      <c r="G27">
        <v>24</v>
      </c>
      <c r="H27">
        <v>41881</v>
      </c>
      <c r="I27">
        <f t="shared" si="2"/>
        <v>41.881</v>
      </c>
      <c r="J27">
        <f t="shared" si="3"/>
        <v>560.36778000000004</v>
      </c>
      <c r="M27">
        <v>24</v>
      </c>
      <c r="N27">
        <v>318562</v>
      </c>
      <c r="O27">
        <f t="shared" si="4"/>
        <v>318.56200000000001</v>
      </c>
      <c r="P27">
        <f t="shared" si="5"/>
        <v>4262.3595600000008</v>
      </c>
    </row>
    <row r="28" spans="1:16">
      <c r="A28">
        <v>25</v>
      </c>
      <c r="B28">
        <v>143680</v>
      </c>
      <c r="C28">
        <f t="shared" si="0"/>
        <v>143.68</v>
      </c>
      <c r="D28">
        <f t="shared" si="1"/>
        <v>1922.4384000000002</v>
      </c>
      <c r="G28">
        <v>25</v>
      </c>
      <c r="H28">
        <v>125399</v>
      </c>
      <c r="I28">
        <f t="shared" si="2"/>
        <v>125.399</v>
      </c>
      <c r="J28">
        <f t="shared" si="3"/>
        <v>1677.8386200000002</v>
      </c>
      <c r="M28">
        <v>25</v>
      </c>
      <c r="N28">
        <v>150213</v>
      </c>
      <c r="O28">
        <f t="shared" si="4"/>
        <v>150.21299999999999</v>
      </c>
      <c r="P28">
        <f t="shared" si="5"/>
        <v>2009.8499400000001</v>
      </c>
    </row>
    <row r="29" spans="1:16">
      <c r="A29">
        <v>26</v>
      </c>
      <c r="B29">
        <v>96694</v>
      </c>
      <c r="C29">
        <f t="shared" si="0"/>
        <v>96.694000000000003</v>
      </c>
      <c r="D29">
        <f t="shared" si="1"/>
        <v>1293.7657200000001</v>
      </c>
      <c r="G29">
        <v>26</v>
      </c>
      <c r="H29">
        <v>120420</v>
      </c>
      <c r="I29">
        <f t="shared" si="2"/>
        <v>120.42</v>
      </c>
      <c r="J29">
        <f t="shared" si="3"/>
        <v>1611.2196000000001</v>
      </c>
      <c r="M29">
        <v>26</v>
      </c>
      <c r="N29">
        <v>197124</v>
      </c>
      <c r="O29">
        <f t="shared" si="4"/>
        <v>197.124</v>
      </c>
      <c r="P29">
        <f t="shared" si="5"/>
        <v>2637.5191199999999</v>
      </c>
    </row>
    <row r="30" spans="1:16">
      <c r="A30">
        <v>27</v>
      </c>
      <c r="B30">
        <v>211549</v>
      </c>
      <c r="C30">
        <f t="shared" si="0"/>
        <v>211.54900000000001</v>
      </c>
      <c r="D30">
        <f t="shared" si="1"/>
        <v>2830.5256200000003</v>
      </c>
      <c r="G30">
        <v>27</v>
      </c>
      <c r="H30">
        <v>90654</v>
      </c>
      <c r="I30">
        <f t="shared" si="2"/>
        <v>90.653999999999996</v>
      </c>
      <c r="J30">
        <f t="shared" si="3"/>
        <v>1212.9505200000001</v>
      </c>
      <c r="M30">
        <v>27</v>
      </c>
      <c r="N30">
        <v>247800</v>
      </c>
      <c r="O30">
        <f t="shared" si="4"/>
        <v>247.8</v>
      </c>
      <c r="P30">
        <f t="shared" si="5"/>
        <v>3315.5640000000003</v>
      </c>
    </row>
    <row r="31" spans="1:16">
      <c r="A31">
        <v>28</v>
      </c>
      <c r="B31">
        <v>95520</v>
      </c>
      <c r="C31">
        <f t="shared" si="0"/>
        <v>95.52</v>
      </c>
      <c r="D31">
        <f t="shared" si="1"/>
        <v>1278.0576000000001</v>
      </c>
      <c r="G31">
        <v>28</v>
      </c>
      <c r="H31">
        <v>77466</v>
      </c>
      <c r="I31">
        <f t="shared" si="2"/>
        <v>77.465999999999994</v>
      </c>
      <c r="J31">
        <f t="shared" si="3"/>
        <v>1036.4950799999999</v>
      </c>
      <c r="M31">
        <v>28</v>
      </c>
      <c r="N31">
        <v>91137</v>
      </c>
      <c r="O31">
        <f t="shared" si="4"/>
        <v>91.137</v>
      </c>
      <c r="P31">
        <f t="shared" si="5"/>
        <v>1219.4130600000001</v>
      </c>
    </row>
    <row r="32" spans="1:16">
      <c r="A32">
        <v>29</v>
      </c>
      <c r="B32">
        <v>94921</v>
      </c>
      <c r="C32">
        <f t="shared" si="0"/>
        <v>94.921000000000006</v>
      </c>
      <c r="D32">
        <f t="shared" si="1"/>
        <v>1270.0429800000002</v>
      </c>
      <c r="G32">
        <v>29</v>
      </c>
      <c r="H32">
        <v>102768</v>
      </c>
      <c r="I32">
        <f t="shared" si="2"/>
        <v>102.768</v>
      </c>
      <c r="J32">
        <f t="shared" si="3"/>
        <v>1375.03584</v>
      </c>
      <c r="M32">
        <v>29</v>
      </c>
      <c r="N32">
        <v>148946</v>
      </c>
      <c r="O32">
        <f t="shared" si="4"/>
        <v>148.946</v>
      </c>
      <c r="P32">
        <f t="shared" si="5"/>
        <v>1992.8974800000001</v>
      </c>
    </row>
    <row r="33" spans="1:16">
      <c r="A33">
        <v>30</v>
      </c>
      <c r="B33">
        <v>240670</v>
      </c>
      <c r="C33">
        <f t="shared" si="0"/>
        <v>240.67</v>
      </c>
      <c r="D33">
        <f t="shared" si="1"/>
        <v>3220.1646000000001</v>
      </c>
      <c r="G33">
        <v>30</v>
      </c>
      <c r="H33">
        <v>87207</v>
      </c>
      <c r="I33">
        <f t="shared" si="2"/>
        <v>87.206999999999994</v>
      </c>
      <c r="J33">
        <f t="shared" si="3"/>
        <v>1166.8296599999999</v>
      </c>
      <c r="M33">
        <v>30</v>
      </c>
      <c r="N33">
        <v>219584</v>
      </c>
      <c r="O33">
        <f t="shared" si="4"/>
        <v>219.584</v>
      </c>
      <c r="P33">
        <f t="shared" si="5"/>
        <v>2938.0339200000003</v>
      </c>
    </row>
    <row r="34" spans="1:16">
      <c r="A34">
        <v>31</v>
      </c>
      <c r="B34">
        <v>101020</v>
      </c>
      <c r="C34">
        <f t="shared" si="0"/>
        <v>101.02</v>
      </c>
      <c r="D34">
        <f t="shared" si="1"/>
        <v>1351.6476</v>
      </c>
      <c r="G34">
        <v>31</v>
      </c>
      <c r="H34">
        <v>155995</v>
      </c>
      <c r="I34">
        <f t="shared" si="2"/>
        <v>155.995</v>
      </c>
      <c r="J34">
        <f t="shared" si="3"/>
        <v>2087.2131000000004</v>
      </c>
      <c r="M34">
        <v>31</v>
      </c>
      <c r="N34">
        <v>134373</v>
      </c>
      <c r="O34">
        <f t="shared" si="4"/>
        <v>134.37299999999999</v>
      </c>
      <c r="P34">
        <f t="shared" si="5"/>
        <v>1797.91074</v>
      </c>
    </row>
    <row r="35" spans="1:16">
      <c r="A35">
        <v>32</v>
      </c>
      <c r="B35">
        <v>85147</v>
      </c>
      <c r="C35">
        <f t="shared" si="0"/>
        <v>85.147000000000006</v>
      </c>
      <c r="D35">
        <f t="shared" si="1"/>
        <v>1139.2668600000002</v>
      </c>
      <c r="G35">
        <v>32</v>
      </c>
      <c r="H35">
        <v>96400</v>
      </c>
      <c r="I35">
        <f t="shared" si="2"/>
        <v>96.4</v>
      </c>
      <c r="J35">
        <f t="shared" si="3"/>
        <v>1289.8320000000001</v>
      </c>
      <c r="M35">
        <v>32</v>
      </c>
      <c r="N35">
        <v>89140</v>
      </c>
      <c r="O35">
        <f t="shared" si="4"/>
        <v>89.14</v>
      </c>
      <c r="P35">
        <f t="shared" si="5"/>
        <v>1192.6932000000002</v>
      </c>
    </row>
    <row r="36" spans="1:16">
      <c r="A36">
        <v>33</v>
      </c>
      <c r="B36">
        <v>85988</v>
      </c>
      <c r="C36">
        <f t="shared" si="0"/>
        <v>85.988</v>
      </c>
      <c r="D36">
        <f t="shared" si="1"/>
        <v>1150.51944</v>
      </c>
      <c r="G36">
        <v>33</v>
      </c>
      <c r="H36">
        <v>90873</v>
      </c>
      <c r="I36">
        <f t="shared" si="2"/>
        <v>90.873000000000005</v>
      </c>
      <c r="J36">
        <f t="shared" si="3"/>
        <v>1215.8807400000001</v>
      </c>
      <c r="M36">
        <v>33</v>
      </c>
      <c r="N36">
        <v>309348</v>
      </c>
      <c r="O36">
        <f t="shared" si="4"/>
        <v>309.34800000000001</v>
      </c>
      <c r="P36">
        <f t="shared" si="5"/>
        <v>4139.0762400000003</v>
      </c>
    </row>
    <row r="37" spans="1:16">
      <c r="A37">
        <v>34</v>
      </c>
      <c r="B37">
        <v>291031</v>
      </c>
      <c r="C37">
        <f t="shared" si="0"/>
        <v>291.03100000000001</v>
      </c>
      <c r="D37">
        <f t="shared" si="1"/>
        <v>3893.9947800000004</v>
      </c>
      <c r="G37">
        <v>34</v>
      </c>
      <c r="H37">
        <v>160897</v>
      </c>
      <c r="I37">
        <f t="shared" si="2"/>
        <v>160.89699999999999</v>
      </c>
      <c r="J37">
        <f t="shared" si="3"/>
        <v>2152.80186</v>
      </c>
      <c r="M37">
        <v>34</v>
      </c>
      <c r="N37">
        <v>149201</v>
      </c>
      <c r="O37">
        <f t="shared" si="4"/>
        <v>149.20099999999999</v>
      </c>
      <c r="P37">
        <f t="shared" si="5"/>
        <v>1996.3093799999999</v>
      </c>
    </row>
    <row r="38" spans="1:16">
      <c r="A38">
        <v>35</v>
      </c>
      <c r="B38">
        <v>107838</v>
      </c>
      <c r="C38">
        <f t="shared" si="0"/>
        <v>107.83799999999999</v>
      </c>
      <c r="D38">
        <f t="shared" si="1"/>
        <v>1442.8724400000001</v>
      </c>
      <c r="G38">
        <v>35</v>
      </c>
      <c r="H38">
        <v>177952</v>
      </c>
      <c r="I38">
        <f t="shared" si="2"/>
        <v>177.952</v>
      </c>
      <c r="J38">
        <f t="shared" si="3"/>
        <v>2380.9977600000002</v>
      </c>
      <c r="M38">
        <v>35</v>
      </c>
      <c r="N38">
        <v>129402</v>
      </c>
      <c r="O38">
        <f t="shared" si="4"/>
        <v>129.40199999999999</v>
      </c>
      <c r="P38">
        <f t="shared" si="5"/>
        <v>1731.3987599999998</v>
      </c>
    </row>
    <row r="39" spans="1:16">
      <c r="A39">
        <v>36</v>
      </c>
      <c r="B39">
        <v>68469</v>
      </c>
      <c r="C39">
        <f t="shared" si="0"/>
        <v>68.468999999999994</v>
      </c>
      <c r="D39">
        <f t="shared" si="1"/>
        <v>916.11522000000002</v>
      </c>
      <c r="G39">
        <v>36</v>
      </c>
      <c r="H39">
        <v>190245</v>
      </c>
      <c r="I39">
        <f t="shared" si="2"/>
        <v>190.245</v>
      </c>
      <c r="J39">
        <f t="shared" si="3"/>
        <v>2545.4781000000003</v>
      </c>
      <c r="M39">
        <v>36</v>
      </c>
      <c r="N39">
        <v>184459</v>
      </c>
      <c r="O39">
        <f t="shared" si="4"/>
        <v>184.459</v>
      </c>
      <c r="P39">
        <f t="shared" si="5"/>
        <v>2468.06142</v>
      </c>
    </row>
    <row r="40" spans="1:16">
      <c r="A40">
        <v>37</v>
      </c>
      <c r="B40">
        <v>170768</v>
      </c>
      <c r="C40">
        <f t="shared" si="0"/>
        <v>170.768</v>
      </c>
      <c r="D40">
        <f t="shared" si="1"/>
        <v>2284.8758400000002</v>
      </c>
      <c r="G40">
        <v>37</v>
      </c>
      <c r="H40">
        <v>128661</v>
      </c>
      <c r="I40">
        <f t="shared" si="2"/>
        <v>128.661</v>
      </c>
      <c r="J40">
        <f t="shared" si="3"/>
        <v>1721.4841800000002</v>
      </c>
      <c r="M40">
        <v>37</v>
      </c>
      <c r="N40">
        <v>141089</v>
      </c>
      <c r="O40">
        <f t="shared" si="4"/>
        <v>141.089</v>
      </c>
      <c r="P40">
        <f t="shared" si="5"/>
        <v>1887.7708200000002</v>
      </c>
    </row>
    <row r="41" spans="1:16">
      <c r="A41">
        <v>38</v>
      </c>
      <c r="B41">
        <v>218820</v>
      </c>
      <c r="C41">
        <f t="shared" si="0"/>
        <v>218.82</v>
      </c>
      <c r="D41">
        <f t="shared" si="1"/>
        <v>2927.8116</v>
      </c>
      <c r="G41">
        <v>38</v>
      </c>
      <c r="H41">
        <v>176706</v>
      </c>
      <c r="I41">
        <f t="shared" si="2"/>
        <v>176.70599999999999</v>
      </c>
      <c r="J41">
        <f t="shared" si="3"/>
        <v>2364.3262799999998</v>
      </c>
      <c r="M41">
        <v>38</v>
      </c>
      <c r="N41">
        <v>139086</v>
      </c>
      <c r="O41">
        <f t="shared" si="4"/>
        <v>139.08600000000001</v>
      </c>
      <c r="P41">
        <f t="shared" si="5"/>
        <v>1860.9706800000004</v>
      </c>
    </row>
    <row r="42" spans="1:16">
      <c r="A42">
        <v>39</v>
      </c>
      <c r="B42">
        <v>85446</v>
      </c>
      <c r="C42">
        <f t="shared" si="0"/>
        <v>85.445999999999998</v>
      </c>
      <c r="D42">
        <f t="shared" si="1"/>
        <v>1143.26748</v>
      </c>
      <c r="G42">
        <v>39</v>
      </c>
      <c r="H42">
        <v>186228</v>
      </c>
      <c r="I42">
        <f t="shared" si="2"/>
        <v>186.22800000000001</v>
      </c>
      <c r="J42">
        <f t="shared" si="3"/>
        <v>2491.7306400000002</v>
      </c>
      <c r="M42">
        <v>39</v>
      </c>
      <c r="N42">
        <v>329812</v>
      </c>
      <c r="O42">
        <f t="shared" si="4"/>
        <v>329.81200000000001</v>
      </c>
      <c r="P42">
        <f t="shared" si="5"/>
        <v>4412.8845600000004</v>
      </c>
    </row>
    <row r="43" spans="1:16">
      <c r="A43">
        <v>40</v>
      </c>
      <c r="B43">
        <v>74330</v>
      </c>
      <c r="C43">
        <f t="shared" si="0"/>
        <v>74.33</v>
      </c>
      <c r="D43">
        <f t="shared" si="1"/>
        <v>994.53539999999998</v>
      </c>
      <c r="G43">
        <v>40</v>
      </c>
      <c r="H43">
        <v>198020</v>
      </c>
      <c r="I43">
        <f t="shared" si="2"/>
        <v>198.02</v>
      </c>
      <c r="J43">
        <f t="shared" si="3"/>
        <v>2649.5076000000004</v>
      </c>
      <c r="M43">
        <v>40</v>
      </c>
      <c r="N43">
        <v>293002</v>
      </c>
      <c r="O43">
        <f t="shared" si="4"/>
        <v>293.00200000000001</v>
      </c>
      <c r="P43">
        <f t="shared" si="5"/>
        <v>3920.3667600000003</v>
      </c>
    </row>
    <row r="44" spans="1:16">
      <c r="A44">
        <v>41</v>
      </c>
      <c r="B44">
        <v>201308</v>
      </c>
      <c r="C44">
        <f t="shared" si="0"/>
        <v>201.30799999999999</v>
      </c>
      <c r="D44">
        <f t="shared" si="1"/>
        <v>2693.5010400000001</v>
      </c>
      <c r="G44">
        <v>41</v>
      </c>
      <c r="H44">
        <v>40286</v>
      </c>
      <c r="I44">
        <f t="shared" si="2"/>
        <v>40.286000000000001</v>
      </c>
      <c r="J44">
        <f t="shared" si="3"/>
        <v>539.02668000000006</v>
      </c>
      <c r="M44">
        <v>41</v>
      </c>
      <c r="N44">
        <v>152191</v>
      </c>
      <c r="O44">
        <f t="shared" si="4"/>
        <v>152.191</v>
      </c>
      <c r="P44">
        <f t="shared" si="5"/>
        <v>2036.3155800000002</v>
      </c>
    </row>
    <row r="45" spans="1:16">
      <c r="A45">
        <v>42</v>
      </c>
      <c r="B45">
        <v>121655</v>
      </c>
      <c r="C45">
        <f t="shared" si="0"/>
        <v>121.655</v>
      </c>
      <c r="D45">
        <f t="shared" si="1"/>
        <v>1627.7439000000002</v>
      </c>
      <c r="G45">
        <v>42</v>
      </c>
      <c r="H45">
        <v>98769</v>
      </c>
      <c r="I45">
        <f t="shared" si="2"/>
        <v>98.769000000000005</v>
      </c>
      <c r="J45">
        <f t="shared" si="3"/>
        <v>1321.5292200000001</v>
      </c>
      <c r="M45">
        <v>42</v>
      </c>
      <c r="N45">
        <v>80994</v>
      </c>
      <c r="O45">
        <f t="shared" si="4"/>
        <v>80.994</v>
      </c>
      <c r="P45">
        <f t="shared" si="5"/>
        <v>1083.6997200000001</v>
      </c>
    </row>
    <row r="46" spans="1:16">
      <c r="A46">
        <v>43</v>
      </c>
      <c r="B46">
        <v>170075</v>
      </c>
      <c r="C46">
        <f t="shared" si="0"/>
        <v>170.07499999999999</v>
      </c>
      <c r="D46">
        <f t="shared" si="1"/>
        <v>2275.6035000000002</v>
      </c>
      <c r="G46">
        <v>43</v>
      </c>
      <c r="H46">
        <v>189942</v>
      </c>
      <c r="I46">
        <f t="shared" si="2"/>
        <v>189.94200000000001</v>
      </c>
      <c r="J46">
        <f t="shared" si="3"/>
        <v>2541.4239600000001</v>
      </c>
      <c r="M46">
        <v>43</v>
      </c>
      <c r="N46">
        <v>137437</v>
      </c>
      <c r="O46">
        <f t="shared" si="4"/>
        <v>137.43700000000001</v>
      </c>
      <c r="P46">
        <f t="shared" si="5"/>
        <v>1838.9070600000002</v>
      </c>
    </row>
    <row r="47" spans="1:16">
      <c r="A47">
        <v>44</v>
      </c>
      <c r="B47">
        <v>88391</v>
      </c>
      <c r="C47">
        <f t="shared" si="0"/>
        <v>88.391000000000005</v>
      </c>
      <c r="D47">
        <f t="shared" si="1"/>
        <v>1182.6715800000002</v>
      </c>
      <c r="G47">
        <v>44</v>
      </c>
      <c r="H47">
        <v>91548</v>
      </c>
      <c r="I47">
        <f t="shared" si="2"/>
        <v>91.548000000000002</v>
      </c>
      <c r="J47">
        <f t="shared" si="3"/>
        <v>1224.9122400000001</v>
      </c>
      <c r="M47">
        <v>44</v>
      </c>
      <c r="N47">
        <v>254232</v>
      </c>
      <c r="O47">
        <f t="shared" si="4"/>
        <v>254.232</v>
      </c>
      <c r="P47">
        <f t="shared" si="5"/>
        <v>3401.6241600000003</v>
      </c>
    </row>
    <row r="48" spans="1:16">
      <c r="A48">
        <v>45</v>
      </c>
      <c r="B48">
        <v>231244</v>
      </c>
      <c r="C48">
        <f t="shared" si="0"/>
        <v>231.244</v>
      </c>
      <c r="D48">
        <f t="shared" si="1"/>
        <v>3094.0447200000003</v>
      </c>
      <c r="G48">
        <v>45</v>
      </c>
      <c r="H48">
        <v>66931</v>
      </c>
      <c r="I48">
        <f t="shared" si="2"/>
        <v>66.930999999999997</v>
      </c>
      <c r="J48">
        <f t="shared" si="3"/>
        <v>895.53678000000002</v>
      </c>
      <c r="M48">
        <v>45</v>
      </c>
      <c r="N48">
        <v>143684</v>
      </c>
      <c r="O48">
        <f t="shared" si="4"/>
        <v>143.684</v>
      </c>
      <c r="P48">
        <f t="shared" si="5"/>
        <v>1922.4919200000002</v>
      </c>
    </row>
    <row r="49" spans="1:18">
      <c r="A49">
        <v>46</v>
      </c>
      <c r="B49">
        <v>125256</v>
      </c>
      <c r="C49">
        <f t="shared" si="0"/>
        <v>125.256</v>
      </c>
      <c r="D49">
        <f t="shared" si="1"/>
        <v>1675.9252800000002</v>
      </c>
      <c r="G49">
        <v>46</v>
      </c>
      <c r="H49">
        <v>167306</v>
      </c>
      <c r="I49">
        <f t="shared" si="2"/>
        <v>167.30600000000001</v>
      </c>
      <c r="J49">
        <f t="shared" si="3"/>
        <v>2238.5542800000003</v>
      </c>
      <c r="M49">
        <v>46</v>
      </c>
      <c r="N49">
        <v>177815</v>
      </c>
      <c r="O49">
        <f t="shared" si="4"/>
        <v>177.815</v>
      </c>
      <c r="P49">
        <f t="shared" si="5"/>
        <v>2379.1647000000003</v>
      </c>
    </row>
    <row r="50" spans="1:18">
      <c r="A50">
        <v>47</v>
      </c>
      <c r="B50">
        <v>181165</v>
      </c>
      <c r="C50">
        <f t="shared" si="0"/>
        <v>181.16499999999999</v>
      </c>
      <c r="D50">
        <f t="shared" si="1"/>
        <v>2423.9877000000001</v>
      </c>
      <c r="G50">
        <v>47</v>
      </c>
      <c r="H50">
        <v>185942</v>
      </c>
      <c r="I50">
        <f t="shared" si="2"/>
        <v>185.94200000000001</v>
      </c>
      <c r="J50">
        <f t="shared" si="3"/>
        <v>2487.9039600000001</v>
      </c>
      <c r="M50">
        <v>47</v>
      </c>
      <c r="N50">
        <v>159201</v>
      </c>
      <c r="O50">
        <f t="shared" si="4"/>
        <v>159.20099999999999</v>
      </c>
      <c r="P50">
        <f t="shared" si="5"/>
        <v>2130.1093799999999</v>
      </c>
    </row>
    <row r="51" spans="1:18">
      <c r="A51">
        <v>48</v>
      </c>
      <c r="B51">
        <v>199901</v>
      </c>
      <c r="C51">
        <f t="shared" si="0"/>
        <v>199.90100000000001</v>
      </c>
      <c r="D51">
        <f t="shared" si="1"/>
        <v>2674.6753800000001</v>
      </c>
      <c r="G51">
        <v>48</v>
      </c>
      <c r="H51">
        <v>270831</v>
      </c>
      <c r="I51">
        <f t="shared" si="2"/>
        <v>270.83100000000002</v>
      </c>
      <c r="J51">
        <f t="shared" si="3"/>
        <v>3623.7187800000006</v>
      </c>
      <c r="M51">
        <v>48</v>
      </c>
      <c r="N51">
        <v>108259</v>
      </c>
      <c r="O51">
        <f t="shared" si="4"/>
        <v>108.259</v>
      </c>
      <c r="P51">
        <f t="shared" si="5"/>
        <v>1448.5054200000002</v>
      </c>
    </row>
    <row r="52" spans="1:18">
      <c r="A52">
        <v>49</v>
      </c>
      <c r="B52">
        <v>109809</v>
      </c>
      <c r="C52">
        <f t="shared" si="0"/>
        <v>109.809</v>
      </c>
      <c r="D52">
        <f t="shared" si="1"/>
        <v>1469.24442</v>
      </c>
      <c r="G52">
        <v>49</v>
      </c>
      <c r="H52">
        <v>120728</v>
      </c>
      <c r="I52">
        <f t="shared" si="2"/>
        <v>120.72799999999999</v>
      </c>
      <c r="J52">
        <f t="shared" si="3"/>
        <v>1615.3406400000001</v>
      </c>
      <c r="M52">
        <v>49</v>
      </c>
      <c r="N52">
        <v>244283</v>
      </c>
      <c r="O52">
        <f t="shared" si="4"/>
        <v>244.28299999999999</v>
      </c>
      <c r="P52">
        <f t="shared" si="5"/>
        <v>3268.5065399999999</v>
      </c>
    </row>
    <row r="53" spans="1:18">
      <c r="A53">
        <v>50</v>
      </c>
      <c r="B53">
        <v>166412</v>
      </c>
      <c r="C53">
        <f t="shared" si="0"/>
        <v>166.41200000000001</v>
      </c>
      <c r="D53">
        <f t="shared" si="1"/>
        <v>2226.59256</v>
      </c>
      <c r="G53">
        <v>50</v>
      </c>
      <c r="H53">
        <v>168229</v>
      </c>
      <c r="I53">
        <f t="shared" si="2"/>
        <v>168.22900000000001</v>
      </c>
      <c r="J53">
        <f t="shared" si="3"/>
        <v>2250.9040200000004</v>
      </c>
      <c r="M53">
        <v>50</v>
      </c>
      <c r="N53">
        <v>138683</v>
      </c>
      <c r="O53">
        <f t="shared" si="4"/>
        <v>138.68299999999999</v>
      </c>
      <c r="P53">
        <f t="shared" si="5"/>
        <v>1855.57854</v>
      </c>
    </row>
    <row r="54" spans="1:18">
      <c r="A54" t="s">
        <v>26</v>
      </c>
      <c r="B54">
        <f>AVERAGE(B4:B53)</f>
        <v>135242.26</v>
      </c>
      <c r="C54">
        <f t="shared" ref="C54:D54" si="6">AVERAGE(C4:C53)</f>
        <v>135.24225999999996</v>
      </c>
      <c r="D54">
        <f t="shared" si="6"/>
        <v>1809.5414388000002</v>
      </c>
      <c r="G54">
        <f t="shared" ref="G54" si="7">AVERAGE(G4:G53)</f>
        <v>25.5</v>
      </c>
      <c r="H54">
        <f t="shared" ref="H54" si="8">AVERAGE(H4:H53)</f>
        <v>143155.22</v>
      </c>
      <c r="I54">
        <f t="shared" ref="I54" si="9">AVERAGE(I4:I53)</f>
        <v>143.15521999999999</v>
      </c>
      <c r="J54">
        <f t="shared" ref="J54" si="10">AVERAGE(J4:J53)</f>
        <v>1915.4168435999993</v>
      </c>
      <c r="M54">
        <f t="shared" ref="M54" si="11">AVERAGE(M4:M53)</f>
        <v>25.5</v>
      </c>
      <c r="N54">
        <f t="shared" ref="N54" si="12">AVERAGE(N4:N53)</f>
        <v>168006.22</v>
      </c>
      <c r="O54">
        <f t="shared" ref="O54" si="13">AVERAGE(O4:O53)</f>
        <v>168.00621999999996</v>
      </c>
      <c r="P54">
        <f t="shared" ref="P54" si="14">AVERAGE(P4:P53)</f>
        <v>2247.9232236000003</v>
      </c>
      <c r="R54" t="s">
        <v>107</v>
      </c>
    </row>
    <row r="55" spans="1:18">
      <c r="A55" t="s">
        <v>38</v>
      </c>
      <c r="B55">
        <f>MIN(B4:B53)</f>
        <v>38639</v>
      </c>
      <c r="C55">
        <f t="shared" ref="C55:P55" si="15">MIN(C4:C53)</f>
        <v>38.639000000000003</v>
      </c>
      <c r="D55">
        <f t="shared" si="15"/>
        <v>516.98982000000012</v>
      </c>
      <c r="G55">
        <f t="shared" si="15"/>
        <v>1</v>
      </c>
      <c r="H55">
        <f t="shared" si="15"/>
        <v>40286</v>
      </c>
      <c r="I55">
        <f t="shared" si="15"/>
        <v>40.286000000000001</v>
      </c>
      <c r="J55">
        <f t="shared" si="15"/>
        <v>539.02668000000006</v>
      </c>
      <c r="M55">
        <f t="shared" si="15"/>
        <v>1</v>
      </c>
      <c r="N55">
        <f t="shared" si="15"/>
        <v>63411</v>
      </c>
      <c r="O55">
        <f t="shared" si="15"/>
        <v>63.411000000000001</v>
      </c>
      <c r="P55">
        <f t="shared" si="15"/>
        <v>848.43918000000008</v>
      </c>
      <c r="R55">
        <f>AVERAGE(D54,J54,P54)</f>
        <v>1990.9605019999999</v>
      </c>
    </row>
    <row r="56" spans="1:18">
      <c r="A56" t="s">
        <v>39</v>
      </c>
      <c r="B56">
        <f>MAX(B4:B53)</f>
        <v>291031</v>
      </c>
      <c r="C56">
        <f t="shared" ref="C56:P56" si="16">MAX(C4:C53)</f>
        <v>291.03100000000001</v>
      </c>
      <c r="D56">
        <f t="shared" si="16"/>
        <v>3893.9947800000004</v>
      </c>
      <c r="G56">
        <f t="shared" si="16"/>
        <v>50</v>
      </c>
      <c r="H56">
        <f t="shared" si="16"/>
        <v>270831</v>
      </c>
      <c r="I56">
        <f t="shared" si="16"/>
        <v>270.83100000000002</v>
      </c>
      <c r="J56">
        <f t="shared" si="16"/>
        <v>3623.7187800000006</v>
      </c>
      <c r="M56">
        <f t="shared" si="16"/>
        <v>50</v>
      </c>
      <c r="N56">
        <f t="shared" si="16"/>
        <v>329812</v>
      </c>
      <c r="O56">
        <f t="shared" si="16"/>
        <v>329.81200000000001</v>
      </c>
      <c r="P56">
        <f t="shared" si="16"/>
        <v>4412.8845600000004</v>
      </c>
      <c r="R56" t="s">
        <v>108</v>
      </c>
    </row>
    <row r="57" spans="1:18">
      <c r="A57" t="s">
        <v>113</v>
      </c>
      <c r="B57">
        <f>_xlfn.STDEV.S(B4:B53)</f>
        <v>60322.847652701377</v>
      </c>
      <c r="C57">
        <f t="shared" ref="C57:P57" si="17">_xlfn.STDEV.S(C4:C53)</f>
        <v>60.322847652701391</v>
      </c>
      <c r="D57">
        <f t="shared" si="17"/>
        <v>807.11970159314455</v>
      </c>
      <c r="H57">
        <f t="shared" si="17"/>
        <v>51251.425468395006</v>
      </c>
      <c r="I57">
        <f t="shared" si="17"/>
        <v>51.251425468395041</v>
      </c>
      <c r="J57">
        <f t="shared" si="17"/>
        <v>685.74407276712816</v>
      </c>
      <c r="M57">
        <f t="shared" si="17"/>
        <v>14.577379737113251</v>
      </c>
      <c r="N57">
        <f t="shared" si="17"/>
        <v>68729.571180272062</v>
      </c>
      <c r="O57">
        <f t="shared" si="17"/>
        <v>68.72957118027216</v>
      </c>
      <c r="P57">
        <f t="shared" si="17"/>
        <v>919.60166239204023</v>
      </c>
      <c r="R57">
        <f>_xlfn.STDEV.S(D4:D53,J4:J53,P4:P53)</f>
        <v>825.89321939843637</v>
      </c>
    </row>
    <row r="141" spans="4:4">
      <c r="D141" t="s">
        <v>42</v>
      </c>
    </row>
    <row r="142" spans="4:4">
      <c r="D142" t="s">
        <v>43</v>
      </c>
    </row>
    <row r="143" spans="4:4">
      <c r="D143" t="s">
        <v>44</v>
      </c>
    </row>
    <row r="145" spans="4:6">
      <c r="D145">
        <v>1809.5414388000002</v>
      </c>
      <c r="E145">
        <v>1915.4168435999993</v>
      </c>
      <c r="F145">
        <v>2247.9232236000003</v>
      </c>
    </row>
    <row r="146" spans="4:6">
      <c r="D146">
        <f>AVERAGE(D145:F145)</f>
        <v>1990.9605019999999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0"/>
  <sheetViews>
    <sheetView workbookViewId="0">
      <selection activeCell="O6" sqref="O6:P8"/>
    </sheetView>
  </sheetViews>
  <sheetFormatPr baseColWidth="10" defaultRowHeight="15"/>
  <sheetData>
    <row r="1" spans="1:16">
      <c r="A1" s="8" t="s">
        <v>175</v>
      </c>
    </row>
    <row r="4" spans="1:16">
      <c r="B4" s="8" t="s">
        <v>133</v>
      </c>
      <c r="F4" s="8" t="s">
        <v>134</v>
      </c>
      <c r="K4" s="8" t="s">
        <v>135</v>
      </c>
    </row>
    <row r="5" spans="1:16">
      <c r="B5" t="s">
        <v>142</v>
      </c>
      <c r="F5" t="s">
        <v>143</v>
      </c>
      <c r="K5" t="s">
        <v>144</v>
      </c>
    </row>
    <row r="6" spans="1:16">
      <c r="B6" t="s">
        <v>20</v>
      </c>
      <c r="D6" t="s">
        <v>21</v>
      </c>
      <c r="F6" t="s">
        <v>20</v>
      </c>
      <c r="H6" t="s">
        <v>21</v>
      </c>
      <c r="K6" t="s">
        <v>20</v>
      </c>
      <c r="M6" t="s">
        <v>21</v>
      </c>
      <c r="O6" s="55" t="s">
        <v>73</v>
      </c>
      <c r="P6" s="56"/>
    </row>
    <row r="7" spans="1:16">
      <c r="A7">
        <v>1</v>
      </c>
      <c r="B7">
        <v>95495</v>
      </c>
      <c r="C7">
        <f>B7/1000</f>
        <v>95.495000000000005</v>
      </c>
      <c r="D7">
        <f>C7*13.38</f>
        <v>1277.7231000000002</v>
      </c>
      <c r="F7">
        <v>28071</v>
      </c>
      <c r="G7">
        <f>F7/1000</f>
        <v>28.071000000000002</v>
      </c>
      <c r="H7">
        <f>G7*13.38</f>
        <v>375.58998000000003</v>
      </c>
      <c r="K7">
        <v>101496</v>
      </c>
      <c r="L7">
        <f>K7/1000</f>
        <v>101.496</v>
      </c>
      <c r="M7">
        <f>L7*13.38</f>
        <v>1358.01648</v>
      </c>
      <c r="O7" s="57">
        <v>36.5</v>
      </c>
      <c r="P7" s="58">
        <v>475</v>
      </c>
    </row>
    <row r="8" spans="1:16">
      <c r="A8">
        <v>2</v>
      </c>
      <c r="B8">
        <v>102472</v>
      </c>
      <c r="C8">
        <f t="shared" ref="C8:C56" si="0">B8/1000</f>
        <v>102.47199999999999</v>
      </c>
      <c r="D8">
        <f t="shared" ref="D8:D56" si="1">C8*13.38</f>
        <v>1371.07536</v>
      </c>
      <c r="F8">
        <v>59623</v>
      </c>
      <c r="G8">
        <f t="shared" ref="G8:G56" si="2">F8/1000</f>
        <v>59.622999999999998</v>
      </c>
      <c r="H8">
        <f t="shared" ref="H8:H56" si="3">G8*13.38</f>
        <v>797.75574000000006</v>
      </c>
      <c r="K8">
        <v>70706</v>
      </c>
      <c r="L8">
        <f t="shared" ref="L8:L56" si="4">K8/1000</f>
        <v>70.706000000000003</v>
      </c>
      <c r="M8">
        <f t="shared" ref="M8:M56" si="5">L8*13.38</f>
        <v>946.04628000000014</v>
      </c>
      <c r="O8" s="59">
        <v>1</v>
      </c>
      <c r="P8" s="60">
        <f>P7/35.5</f>
        <v>13.380281690140846</v>
      </c>
    </row>
    <row r="9" spans="1:16">
      <c r="A9">
        <v>3</v>
      </c>
      <c r="B9">
        <v>76222</v>
      </c>
      <c r="C9">
        <f t="shared" si="0"/>
        <v>76.221999999999994</v>
      </c>
      <c r="D9">
        <f t="shared" si="1"/>
        <v>1019.85036</v>
      </c>
      <c r="F9">
        <v>72622</v>
      </c>
      <c r="G9">
        <f t="shared" si="2"/>
        <v>72.622</v>
      </c>
      <c r="H9">
        <f t="shared" si="3"/>
        <v>971.68236000000002</v>
      </c>
      <c r="K9">
        <v>44534</v>
      </c>
      <c r="L9">
        <f t="shared" si="4"/>
        <v>44.533999999999999</v>
      </c>
      <c r="M9">
        <f t="shared" si="5"/>
        <v>595.86491999999998</v>
      </c>
    </row>
    <row r="10" spans="1:16">
      <c r="A10">
        <v>4</v>
      </c>
      <c r="B10">
        <v>49547</v>
      </c>
      <c r="C10">
        <f t="shared" si="0"/>
        <v>49.546999999999997</v>
      </c>
      <c r="D10">
        <f t="shared" si="1"/>
        <v>662.93885999999998</v>
      </c>
      <c r="F10">
        <v>147105</v>
      </c>
      <c r="G10">
        <f t="shared" si="2"/>
        <v>147.10499999999999</v>
      </c>
      <c r="H10">
        <f t="shared" si="3"/>
        <v>1968.2648999999999</v>
      </c>
      <c r="K10">
        <v>61008</v>
      </c>
      <c r="L10">
        <f t="shared" si="4"/>
        <v>61.008000000000003</v>
      </c>
      <c r="M10">
        <f t="shared" si="5"/>
        <v>816.28704000000005</v>
      </c>
    </row>
    <row r="11" spans="1:16">
      <c r="A11">
        <v>5</v>
      </c>
      <c r="B11">
        <v>63127</v>
      </c>
      <c r="C11">
        <f t="shared" si="0"/>
        <v>63.127000000000002</v>
      </c>
      <c r="D11">
        <f t="shared" si="1"/>
        <v>844.63926000000004</v>
      </c>
      <c r="F11">
        <v>148007</v>
      </c>
      <c r="G11">
        <f t="shared" si="2"/>
        <v>148.00700000000001</v>
      </c>
      <c r="H11">
        <f t="shared" si="3"/>
        <v>1980.3336600000002</v>
      </c>
      <c r="K11">
        <v>74250</v>
      </c>
      <c r="L11">
        <f t="shared" si="4"/>
        <v>74.25</v>
      </c>
      <c r="M11">
        <f t="shared" si="5"/>
        <v>993.46500000000003</v>
      </c>
    </row>
    <row r="12" spans="1:16">
      <c r="A12">
        <v>6</v>
      </c>
      <c r="B12">
        <v>120008</v>
      </c>
      <c r="C12">
        <f t="shared" si="0"/>
        <v>120.008</v>
      </c>
      <c r="D12">
        <f t="shared" si="1"/>
        <v>1605.70704</v>
      </c>
      <c r="F12">
        <v>102044</v>
      </c>
      <c r="G12">
        <f t="shared" si="2"/>
        <v>102.044</v>
      </c>
      <c r="H12">
        <f t="shared" si="3"/>
        <v>1365.34872</v>
      </c>
      <c r="K12">
        <v>81939</v>
      </c>
      <c r="L12">
        <f t="shared" si="4"/>
        <v>81.938999999999993</v>
      </c>
      <c r="M12">
        <f t="shared" si="5"/>
        <v>1096.3438200000001</v>
      </c>
    </row>
    <row r="13" spans="1:16">
      <c r="A13">
        <v>7</v>
      </c>
      <c r="B13">
        <v>82426</v>
      </c>
      <c r="C13">
        <f t="shared" si="0"/>
        <v>82.426000000000002</v>
      </c>
      <c r="D13">
        <f t="shared" si="1"/>
        <v>1102.8598800000002</v>
      </c>
      <c r="F13">
        <v>64133</v>
      </c>
      <c r="G13">
        <f t="shared" si="2"/>
        <v>64.132999999999996</v>
      </c>
      <c r="H13">
        <f t="shared" si="3"/>
        <v>858.09954000000005</v>
      </c>
      <c r="K13">
        <v>44918</v>
      </c>
      <c r="L13">
        <f t="shared" si="4"/>
        <v>44.917999999999999</v>
      </c>
      <c r="M13">
        <f t="shared" si="5"/>
        <v>601.00283999999999</v>
      </c>
    </row>
    <row r="14" spans="1:16" ht="15" customHeight="1">
      <c r="A14">
        <v>8</v>
      </c>
      <c r="B14">
        <v>48013</v>
      </c>
      <c r="C14">
        <f t="shared" si="0"/>
        <v>48.012999999999998</v>
      </c>
      <c r="D14">
        <f t="shared" si="1"/>
        <v>642.41394000000003</v>
      </c>
      <c r="F14">
        <v>67417</v>
      </c>
      <c r="G14">
        <f t="shared" si="2"/>
        <v>67.417000000000002</v>
      </c>
      <c r="H14">
        <f t="shared" si="3"/>
        <v>902.03946000000008</v>
      </c>
      <c r="K14">
        <v>51007</v>
      </c>
      <c r="L14">
        <f t="shared" si="4"/>
        <v>51.006999999999998</v>
      </c>
      <c r="M14">
        <f t="shared" si="5"/>
        <v>682.47366</v>
      </c>
    </row>
    <row r="15" spans="1:16">
      <c r="A15">
        <v>9</v>
      </c>
      <c r="B15">
        <v>90463</v>
      </c>
      <c r="C15">
        <f t="shared" si="0"/>
        <v>90.462999999999994</v>
      </c>
      <c r="D15">
        <f t="shared" si="1"/>
        <v>1210.3949399999999</v>
      </c>
      <c r="F15">
        <v>83385</v>
      </c>
      <c r="G15">
        <f t="shared" si="2"/>
        <v>83.385000000000005</v>
      </c>
      <c r="H15">
        <f t="shared" si="3"/>
        <v>1115.6913000000002</v>
      </c>
      <c r="K15">
        <v>93174</v>
      </c>
      <c r="L15">
        <f t="shared" si="4"/>
        <v>93.174000000000007</v>
      </c>
      <c r="M15">
        <f t="shared" si="5"/>
        <v>1246.6681200000003</v>
      </c>
    </row>
    <row r="16" spans="1:16">
      <c r="A16">
        <v>10</v>
      </c>
      <c r="B16">
        <v>74042</v>
      </c>
      <c r="C16">
        <f t="shared" si="0"/>
        <v>74.042000000000002</v>
      </c>
      <c r="D16">
        <f t="shared" si="1"/>
        <v>990.68196000000012</v>
      </c>
      <c r="F16">
        <v>43105</v>
      </c>
      <c r="G16">
        <f t="shared" si="2"/>
        <v>43.104999999999997</v>
      </c>
      <c r="H16">
        <f t="shared" si="3"/>
        <v>576.74490000000003</v>
      </c>
      <c r="K16">
        <v>74918</v>
      </c>
      <c r="L16">
        <f t="shared" si="4"/>
        <v>74.918000000000006</v>
      </c>
      <c r="M16">
        <f t="shared" si="5"/>
        <v>1002.4028400000002</v>
      </c>
    </row>
    <row r="17" spans="1:13">
      <c r="A17">
        <v>11</v>
      </c>
      <c r="B17">
        <v>66139</v>
      </c>
      <c r="C17">
        <f t="shared" si="0"/>
        <v>66.138999999999996</v>
      </c>
      <c r="D17">
        <f t="shared" si="1"/>
        <v>884.93981999999994</v>
      </c>
      <c r="F17">
        <v>67203</v>
      </c>
      <c r="G17">
        <f t="shared" si="2"/>
        <v>67.203000000000003</v>
      </c>
      <c r="H17">
        <f t="shared" si="3"/>
        <v>899.17614000000015</v>
      </c>
      <c r="K17">
        <v>107787</v>
      </c>
      <c r="L17">
        <f t="shared" si="4"/>
        <v>107.78700000000001</v>
      </c>
      <c r="M17">
        <f t="shared" si="5"/>
        <v>1442.1900600000001</v>
      </c>
    </row>
    <row r="18" spans="1:13">
      <c r="A18">
        <v>12</v>
      </c>
      <c r="B18">
        <v>55851</v>
      </c>
      <c r="C18">
        <f t="shared" si="0"/>
        <v>55.850999999999999</v>
      </c>
      <c r="D18">
        <f t="shared" si="1"/>
        <v>747.28638000000001</v>
      </c>
      <c r="F18">
        <v>75073</v>
      </c>
      <c r="G18">
        <f t="shared" si="2"/>
        <v>75.072999999999993</v>
      </c>
      <c r="H18">
        <f t="shared" si="3"/>
        <v>1004.4767399999999</v>
      </c>
      <c r="K18">
        <v>42202</v>
      </c>
      <c r="L18">
        <f t="shared" si="4"/>
        <v>42.201999999999998</v>
      </c>
      <c r="M18">
        <f t="shared" si="5"/>
        <v>564.66276000000005</v>
      </c>
    </row>
    <row r="19" spans="1:13">
      <c r="A19">
        <v>13</v>
      </c>
      <c r="B19">
        <v>68694</v>
      </c>
      <c r="C19">
        <f t="shared" si="0"/>
        <v>68.694000000000003</v>
      </c>
      <c r="D19">
        <f t="shared" si="1"/>
        <v>919.12572000000011</v>
      </c>
      <c r="F19">
        <v>43463</v>
      </c>
      <c r="G19">
        <f t="shared" si="2"/>
        <v>43.463000000000001</v>
      </c>
      <c r="H19">
        <f t="shared" si="3"/>
        <v>581.53494000000001</v>
      </c>
      <c r="K19">
        <v>86267</v>
      </c>
      <c r="L19">
        <f t="shared" si="4"/>
        <v>86.266999999999996</v>
      </c>
      <c r="M19">
        <f t="shared" si="5"/>
        <v>1154.2524599999999</v>
      </c>
    </row>
    <row r="20" spans="1:13">
      <c r="A20">
        <v>14</v>
      </c>
      <c r="B20">
        <v>73139</v>
      </c>
      <c r="C20">
        <f t="shared" si="0"/>
        <v>73.138999999999996</v>
      </c>
      <c r="D20">
        <f t="shared" si="1"/>
        <v>978.59982000000002</v>
      </c>
      <c r="F20">
        <v>110318</v>
      </c>
      <c r="G20">
        <f t="shared" si="2"/>
        <v>110.318</v>
      </c>
      <c r="H20">
        <f t="shared" si="3"/>
        <v>1476.05484</v>
      </c>
      <c r="K20">
        <v>92022</v>
      </c>
      <c r="L20">
        <f t="shared" si="4"/>
        <v>92.022000000000006</v>
      </c>
      <c r="M20">
        <f t="shared" si="5"/>
        <v>1231.2543600000001</v>
      </c>
    </row>
    <row r="21" spans="1:13">
      <c r="A21">
        <v>15</v>
      </c>
      <c r="B21">
        <v>96222</v>
      </c>
      <c r="C21">
        <f t="shared" si="0"/>
        <v>96.221999999999994</v>
      </c>
      <c r="D21">
        <f t="shared" si="1"/>
        <v>1287.45036</v>
      </c>
      <c r="F21">
        <v>67052</v>
      </c>
      <c r="G21">
        <f t="shared" si="2"/>
        <v>67.052000000000007</v>
      </c>
      <c r="H21">
        <f t="shared" si="3"/>
        <v>897.1557600000001</v>
      </c>
      <c r="K21">
        <v>68942</v>
      </c>
      <c r="L21">
        <f t="shared" si="4"/>
        <v>68.941999999999993</v>
      </c>
      <c r="M21">
        <f t="shared" si="5"/>
        <v>922.44395999999995</v>
      </c>
    </row>
    <row r="22" spans="1:13">
      <c r="A22">
        <v>16</v>
      </c>
      <c r="B22">
        <v>93601</v>
      </c>
      <c r="C22">
        <f t="shared" si="0"/>
        <v>93.600999999999999</v>
      </c>
      <c r="D22">
        <f t="shared" si="1"/>
        <v>1252.38138</v>
      </c>
      <c r="F22">
        <v>98568</v>
      </c>
      <c r="G22">
        <f t="shared" si="2"/>
        <v>98.567999999999998</v>
      </c>
      <c r="H22">
        <f t="shared" si="3"/>
        <v>1318.8398400000001</v>
      </c>
      <c r="K22">
        <v>80610</v>
      </c>
      <c r="L22">
        <f t="shared" si="4"/>
        <v>80.61</v>
      </c>
      <c r="M22">
        <f t="shared" si="5"/>
        <v>1078.5617999999999</v>
      </c>
    </row>
    <row r="23" spans="1:13">
      <c r="A23">
        <v>17</v>
      </c>
      <c r="B23">
        <v>79459</v>
      </c>
      <c r="C23">
        <f t="shared" si="0"/>
        <v>79.459000000000003</v>
      </c>
      <c r="D23">
        <f t="shared" si="1"/>
        <v>1063.1614200000001</v>
      </c>
      <c r="F23">
        <v>30973</v>
      </c>
      <c r="G23">
        <f t="shared" si="2"/>
        <v>30.972999999999999</v>
      </c>
      <c r="H23">
        <f t="shared" si="3"/>
        <v>414.41874000000001</v>
      </c>
      <c r="K23">
        <v>71593</v>
      </c>
      <c r="L23">
        <f t="shared" si="4"/>
        <v>71.593000000000004</v>
      </c>
      <c r="M23">
        <f t="shared" si="5"/>
        <v>957.91434000000015</v>
      </c>
    </row>
    <row r="24" spans="1:13">
      <c r="A24">
        <v>18</v>
      </c>
      <c r="B24">
        <v>84015</v>
      </c>
      <c r="C24">
        <f t="shared" si="0"/>
        <v>84.015000000000001</v>
      </c>
      <c r="D24">
        <f t="shared" si="1"/>
        <v>1124.1207000000002</v>
      </c>
      <c r="F24">
        <v>97529</v>
      </c>
      <c r="G24">
        <f t="shared" si="2"/>
        <v>97.528999999999996</v>
      </c>
      <c r="H24">
        <f t="shared" si="3"/>
        <v>1304.9380200000001</v>
      </c>
      <c r="K24">
        <v>67802</v>
      </c>
      <c r="L24">
        <f t="shared" si="4"/>
        <v>67.802000000000007</v>
      </c>
      <c r="M24">
        <f t="shared" si="5"/>
        <v>907.19076000000018</v>
      </c>
    </row>
    <row r="25" spans="1:13">
      <c r="A25">
        <v>19</v>
      </c>
      <c r="B25">
        <v>54176</v>
      </c>
      <c r="C25">
        <f t="shared" si="0"/>
        <v>54.176000000000002</v>
      </c>
      <c r="D25">
        <f t="shared" si="1"/>
        <v>724.87488000000008</v>
      </c>
      <c r="F25">
        <v>44407</v>
      </c>
      <c r="G25">
        <f t="shared" si="2"/>
        <v>44.406999999999996</v>
      </c>
      <c r="H25">
        <f t="shared" si="3"/>
        <v>594.16566</v>
      </c>
      <c r="K25">
        <v>22804</v>
      </c>
      <c r="L25">
        <f t="shared" si="4"/>
        <v>22.803999999999998</v>
      </c>
      <c r="M25">
        <f t="shared" si="5"/>
        <v>305.11752000000001</v>
      </c>
    </row>
    <row r="26" spans="1:13">
      <c r="A26">
        <v>20</v>
      </c>
      <c r="B26">
        <v>69105</v>
      </c>
      <c r="C26">
        <f t="shared" si="0"/>
        <v>69.105000000000004</v>
      </c>
      <c r="D26">
        <f t="shared" si="1"/>
        <v>924.62490000000014</v>
      </c>
      <c r="F26">
        <v>37121</v>
      </c>
      <c r="G26">
        <f t="shared" si="2"/>
        <v>37.121000000000002</v>
      </c>
      <c r="H26">
        <f t="shared" si="3"/>
        <v>496.67898000000008</v>
      </c>
      <c r="K26">
        <v>101270</v>
      </c>
      <c r="L26">
        <f t="shared" si="4"/>
        <v>101.27</v>
      </c>
      <c r="M26">
        <f t="shared" si="5"/>
        <v>1354.9926</v>
      </c>
    </row>
    <row r="27" spans="1:13">
      <c r="A27">
        <v>21</v>
      </c>
      <c r="B27">
        <v>86497</v>
      </c>
      <c r="C27">
        <f t="shared" si="0"/>
        <v>86.497</v>
      </c>
      <c r="D27">
        <f t="shared" si="1"/>
        <v>1157.3298600000001</v>
      </c>
      <c r="F27">
        <v>68250</v>
      </c>
      <c r="G27">
        <f t="shared" si="2"/>
        <v>68.25</v>
      </c>
      <c r="H27">
        <f t="shared" si="3"/>
        <v>913.18500000000006</v>
      </c>
      <c r="K27">
        <v>62431</v>
      </c>
      <c r="L27">
        <f t="shared" si="4"/>
        <v>62.430999999999997</v>
      </c>
      <c r="M27">
        <f t="shared" si="5"/>
        <v>835.32677999999999</v>
      </c>
    </row>
    <row r="28" spans="1:13">
      <c r="A28">
        <v>22</v>
      </c>
      <c r="B28">
        <v>64330</v>
      </c>
      <c r="C28">
        <f t="shared" si="0"/>
        <v>64.33</v>
      </c>
      <c r="D28">
        <f t="shared" si="1"/>
        <v>860.73540000000003</v>
      </c>
      <c r="F28">
        <v>81025</v>
      </c>
      <c r="G28">
        <f t="shared" si="2"/>
        <v>81.025000000000006</v>
      </c>
      <c r="H28">
        <f t="shared" si="3"/>
        <v>1084.1145000000001</v>
      </c>
      <c r="K28">
        <v>60208</v>
      </c>
      <c r="L28">
        <f t="shared" si="4"/>
        <v>60.207999999999998</v>
      </c>
      <c r="M28">
        <f t="shared" si="5"/>
        <v>805.58303999999998</v>
      </c>
    </row>
    <row r="29" spans="1:13">
      <c r="A29">
        <v>23</v>
      </c>
      <c r="B29">
        <v>45171</v>
      </c>
      <c r="C29">
        <f t="shared" si="0"/>
        <v>45.170999999999999</v>
      </c>
      <c r="D29">
        <f t="shared" si="1"/>
        <v>604.38797999999997</v>
      </c>
      <c r="F29">
        <v>69971</v>
      </c>
      <c r="G29">
        <f t="shared" si="2"/>
        <v>69.971000000000004</v>
      </c>
      <c r="H29">
        <f t="shared" si="3"/>
        <v>936.21198000000015</v>
      </c>
      <c r="K29">
        <v>85240</v>
      </c>
      <c r="L29">
        <f t="shared" si="4"/>
        <v>85.24</v>
      </c>
      <c r="M29">
        <f t="shared" si="5"/>
        <v>1140.5111999999999</v>
      </c>
    </row>
    <row r="30" spans="1:13">
      <c r="A30">
        <v>24</v>
      </c>
      <c r="B30">
        <v>68066</v>
      </c>
      <c r="C30">
        <f t="shared" si="0"/>
        <v>68.066000000000003</v>
      </c>
      <c r="D30">
        <f t="shared" si="1"/>
        <v>910.7230800000001</v>
      </c>
      <c r="F30">
        <v>53600</v>
      </c>
      <c r="G30">
        <f t="shared" si="2"/>
        <v>53.6</v>
      </c>
      <c r="H30">
        <f t="shared" si="3"/>
        <v>717.16800000000001</v>
      </c>
      <c r="K30">
        <v>95016</v>
      </c>
      <c r="L30">
        <f t="shared" si="4"/>
        <v>95.016000000000005</v>
      </c>
      <c r="M30">
        <f t="shared" si="5"/>
        <v>1271.3140800000001</v>
      </c>
    </row>
    <row r="31" spans="1:13">
      <c r="A31">
        <v>25</v>
      </c>
      <c r="B31">
        <v>36359</v>
      </c>
      <c r="C31">
        <f t="shared" si="0"/>
        <v>36.359000000000002</v>
      </c>
      <c r="D31">
        <f t="shared" si="1"/>
        <v>486.48342000000002</v>
      </c>
      <c r="F31">
        <v>75664</v>
      </c>
      <c r="G31">
        <f t="shared" si="2"/>
        <v>75.664000000000001</v>
      </c>
      <c r="H31">
        <f t="shared" si="3"/>
        <v>1012.3843200000001</v>
      </c>
      <c r="K31">
        <v>53824</v>
      </c>
      <c r="L31">
        <f t="shared" si="4"/>
        <v>53.823999999999998</v>
      </c>
      <c r="M31">
        <f t="shared" si="5"/>
        <v>720.16512</v>
      </c>
    </row>
    <row r="32" spans="1:13">
      <c r="A32">
        <v>26</v>
      </c>
      <c r="B32">
        <v>95632</v>
      </c>
      <c r="C32">
        <f t="shared" si="0"/>
        <v>95.632000000000005</v>
      </c>
      <c r="D32">
        <f t="shared" si="1"/>
        <v>1279.5561600000001</v>
      </c>
      <c r="F32">
        <v>68029</v>
      </c>
      <c r="G32">
        <f t="shared" si="2"/>
        <v>68.028999999999996</v>
      </c>
      <c r="H32">
        <f t="shared" si="3"/>
        <v>910.22802000000001</v>
      </c>
      <c r="K32">
        <v>86045</v>
      </c>
      <c r="L32">
        <f t="shared" si="4"/>
        <v>86.045000000000002</v>
      </c>
      <c r="M32">
        <f t="shared" si="5"/>
        <v>1151.2821000000001</v>
      </c>
    </row>
    <row r="33" spans="1:13">
      <c r="A33">
        <v>27</v>
      </c>
      <c r="B33">
        <v>83416</v>
      </c>
      <c r="C33">
        <f t="shared" si="0"/>
        <v>83.415999999999997</v>
      </c>
      <c r="D33">
        <f t="shared" si="1"/>
        <v>1116.10608</v>
      </c>
      <c r="F33">
        <v>95341</v>
      </c>
      <c r="G33">
        <f t="shared" si="2"/>
        <v>95.340999999999994</v>
      </c>
      <c r="H33">
        <f t="shared" si="3"/>
        <v>1275.6625799999999</v>
      </c>
      <c r="K33">
        <v>85805</v>
      </c>
      <c r="L33">
        <f t="shared" si="4"/>
        <v>85.805000000000007</v>
      </c>
      <c r="M33">
        <f t="shared" si="5"/>
        <v>1148.0709000000002</v>
      </c>
    </row>
    <row r="34" spans="1:13">
      <c r="A34">
        <v>28</v>
      </c>
      <c r="B34">
        <v>94083</v>
      </c>
      <c r="C34">
        <f t="shared" si="0"/>
        <v>94.082999999999998</v>
      </c>
      <c r="D34">
        <f t="shared" si="1"/>
        <v>1258.8305400000002</v>
      </c>
      <c r="F34">
        <v>71840</v>
      </c>
      <c r="G34">
        <f t="shared" si="2"/>
        <v>71.84</v>
      </c>
      <c r="H34">
        <f t="shared" si="3"/>
        <v>961.21920000000011</v>
      </c>
      <c r="K34">
        <v>73007</v>
      </c>
      <c r="L34">
        <f t="shared" si="4"/>
        <v>73.007000000000005</v>
      </c>
      <c r="M34">
        <f t="shared" si="5"/>
        <v>976.83366000000012</v>
      </c>
    </row>
    <row r="35" spans="1:13">
      <c r="A35">
        <v>29</v>
      </c>
      <c r="B35">
        <v>88822</v>
      </c>
      <c r="C35">
        <f t="shared" si="0"/>
        <v>88.822000000000003</v>
      </c>
      <c r="D35">
        <f t="shared" si="1"/>
        <v>1188.4383600000001</v>
      </c>
      <c r="F35">
        <v>63600</v>
      </c>
      <c r="G35">
        <f t="shared" si="2"/>
        <v>63.6</v>
      </c>
      <c r="H35">
        <f t="shared" si="3"/>
        <v>850.96800000000007</v>
      </c>
      <c r="K35">
        <v>73278</v>
      </c>
      <c r="L35">
        <f t="shared" si="4"/>
        <v>73.278000000000006</v>
      </c>
      <c r="M35">
        <f t="shared" si="5"/>
        <v>980.45964000000015</v>
      </c>
    </row>
    <row r="36" spans="1:13">
      <c r="A36">
        <v>30</v>
      </c>
      <c r="B36">
        <v>79649</v>
      </c>
      <c r="C36">
        <f t="shared" si="0"/>
        <v>79.649000000000001</v>
      </c>
      <c r="D36">
        <f t="shared" si="1"/>
        <v>1065.70362</v>
      </c>
      <c r="F36">
        <v>52173</v>
      </c>
      <c r="G36">
        <f t="shared" si="2"/>
        <v>52.173000000000002</v>
      </c>
      <c r="H36">
        <f t="shared" si="3"/>
        <v>698.07474000000002</v>
      </c>
      <c r="K36">
        <v>84643</v>
      </c>
      <c r="L36">
        <f t="shared" si="4"/>
        <v>84.643000000000001</v>
      </c>
      <c r="M36">
        <f t="shared" si="5"/>
        <v>1132.52334</v>
      </c>
    </row>
    <row r="37" spans="1:13">
      <c r="A37">
        <v>31</v>
      </c>
      <c r="B37">
        <v>53141</v>
      </c>
      <c r="C37">
        <f t="shared" si="0"/>
        <v>53.140999999999998</v>
      </c>
      <c r="D37">
        <f t="shared" si="1"/>
        <v>711.02657999999997</v>
      </c>
      <c r="F37">
        <v>73573</v>
      </c>
      <c r="G37">
        <f t="shared" si="2"/>
        <v>73.572999999999993</v>
      </c>
      <c r="H37">
        <f t="shared" si="3"/>
        <v>984.40674000000001</v>
      </c>
      <c r="K37">
        <v>39925</v>
      </c>
      <c r="L37">
        <f t="shared" si="4"/>
        <v>39.924999999999997</v>
      </c>
      <c r="M37">
        <f t="shared" si="5"/>
        <v>534.19650000000001</v>
      </c>
    </row>
    <row r="38" spans="1:13">
      <c r="A38">
        <v>32</v>
      </c>
      <c r="B38">
        <v>144482</v>
      </c>
      <c r="C38">
        <f t="shared" si="0"/>
        <v>144.482</v>
      </c>
      <c r="D38">
        <f t="shared" si="1"/>
        <v>1933.1691600000001</v>
      </c>
      <c r="F38">
        <v>101178</v>
      </c>
      <c r="G38">
        <f t="shared" si="2"/>
        <v>101.178</v>
      </c>
      <c r="H38">
        <f t="shared" si="3"/>
        <v>1353.7616399999999</v>
      </c>
      <c r="K38">
        <v>135231</v>
      </c>
      <c r="L38">
        <f t="shared" si="4"/>
        <v>135.23099999999999</v>
      </c>
      <c r="M38">
        <f t="shared" si="5"/>
        <v>1809.3907799999999</v>
      </c>
    </row>
    <row r="39" spans="1:13">
      <c r="A39">
        <v>33</v>
      </c>
      <c r="B39">
        <v>91110</v>
      </c>
      <c r="C39">
        <f t="shared" si="0"/>
        <v>91.11</v>
      </c>
      <c r="D39">
        <f t="shared" si="1"/>
        <v>1219.0518</v>
      </c>
      <c r="F39">
        <v>133003</v>
      </c>
      <c r="G39">
        <f t="shared" si="2"/>
        <v>133.00299999999999</v>
      </c>
      <c r="H39">
        <f t="shared" si="3"/>
        <v>1779.58014</v>
      </c>
      <c r="K39">
        <v>77833</v>
      </c>
      <c r="L39">
        <f t="shared" si="4"/>
        <v>77.832999999999998</v>
      </c>
      <c r="M39">
        <f t="shared" si="5"/>
        <v>1041.40554</v>
      </c>
    </row>
    <row r="40" spans="1:13">
      <c r="A40">
        <v>34</v>
      </c>
      <c r="B40">
        <v>82952</v>
      </c>
      <c r="C40">
        <f t="shared" si="0"/>
        <v>82.951999999999998</v>
      </c>
      <c r="D40">
        <f t="shared" si="1"/>
        <v>1109.8977600000001</v>
      </c>
      <c r="F40">
        <v>53600</v>
      </c>
      <c r="G40">
        <f t="shared" si="2"/>
        <v>53.6</v>
      </c>
      <c r="H40">
        <f t="shared" si="3"/>
        <v>717.16800000000001</v>
      </c>
      <c r="K40">
        <v>60671</v>
      </c>
      <c r="L40">
        <f t="shared" si="4"/>
        <v>60.670999999999999</v>
      </c>
      <c r="M40">
        <f t="shared" si="5"/>
        <v>811.77798000000007</v>
      </c>
    </row>
    <row r="41" spans="1:13">
      <c r="A41">
        <v>35</v>
      </c>
      <c r="B41">
        <v>92202</v>
      </c>
      <c r="C41">
        <f t="shared" si="0"/>
        <v>92.201999999999998</v>
      </c>
      <c r="D41">
        <f t="shared" si="1"/>
        <v>1233.6627599999999</v>
      </c>
      <c r="F41">
        <v>56321</v>
      </c>
      <c r="G41">
        <f t="shared" si="2"/>
        <v>56.320999999999998</v>
      </c>
      <c r="H41">
        <f t="shared" si="3"/>
        <v>753.57497999999998</v>
      </c>
      <c r="K41">
        <v>73980</v>
      </c>
      <c r="L41">
        <f t="shared" si="4"/>
        <v>73.98</v>
      </c>
      <c r="M41">
        <f t="shared" si="5"/>
        <v>989.8524000000001</v>
      </c>
    </row>
    <row r="42" spans="1:13">
      <c r="A42">
        <v>36</v>
      </c>
      <c r="B42">
        <v>66878</v>
      </c>
      <c r="C42">
        <f t="shared" si="0"/>
        <v>66.878</v>
      </c>
      <c r="D42">
        <f t="shared" si="1"/>
        <v>894.82764000000009</v>
      </c>
      <c r="F42">
        <v>58138</v>
      </c>
      <c r="G42">
        <f t="shared" si="2"/>
        <v>58.137999999999998</v>
      </c>
      <c r="H42">
        <f t="shared" si="3"/>
        <v>777.88643999999999</v>
      </c>
      <c r="K42">
        <v>42964</v>
      </c>
      <c r="L42">
        <f t="shared" si="4"/>
        <v>42.963999999999999</v>
      </c>
      <c r="M42">
        <f t="shared" si="5"/>
        <v>574.85832000000005</v>
      </c>
    </row>
    <row r="43" spans="1:13">
      <c r="A43">
        <v>37</v>
      </c>
      <c r="B43">
        <v>90610</v>
      </c>
      <c r="C43">
        <f t="shared" si="0"/>
        <v>90.61</v>
      </c>
      <c r="D43">
        <f t="shared" si="1"/>
        <v>1212.3618000000001</v>
      </c>
      <c r="F43">
        <v>45310</v>
      </c>
      <c r="G43">
        <f t="shared" si="2"/>
        <v>45.31</v>
      </c>
      <c r="H43">
        <f t="shared" si="3"/>
        <v>606.2478000000001</v>
      </c>
      <c r="K43">
        <v>73195</v>
      </c>
      <c r="L43">
        <f t="shared" si="4"/>
        <v>73.194999999999993</v>
      </c>
      <c r="M43">
        <f t="shared" si="5"/>
        <v>979.34910000000002</v>
      </c>
    </row>
    <row r="44" spans="1:13">
      <c r="A44">
        <v>38</v>
      </c>
      <c r="B44">
        <v>107162</v>
      </c>
      <c r="C44">
        <f t="shared" si="0"/>
        <v>107.16200000000001</v>
      </c>
      <c r="D44">
        <f t="shared" si="1"/>
        <v>1433.8275600000002</v>
      </c>
      <c r="F44">
        <v>41593</v>
      </c>
      <c r="G44">
        <f t="shared" si="2"/>
        <v>41.593000000000004</v>
      </c>
      <c r="H44">
        <f t="shared" si="3"/>
        <v>556.51434000000006</v>
      </c>
      <c r="K44">
        <v>95177</v>
      </c>
      <c r="L44">
        <f t="shared" si="4"/>
        <v>95.177000000000007</v>
      </c>
      <c r="M44">
        <f t="shared" si="5"/>
        <v>1273.4682600000001</v>
      </c>
    </row>
    <row r="45" spans="1:13">
      <c r="A45">
        <v>39</v>
      </c>
      <c r="B45">
        <v>134015</v>
      </c>
      <c r="C45">
        <f t="shared" si="0"/>
        <v>134.01499999999999</v>
      </c>
      <c r="D45">
        <f t="shared" si="1"/>
        <v>1793.1206999999999</v>
      </c>
      <c r="F45">
        <v>64846</v>
      </c>
      <c r="G45">
        <f t="shared" si="2"/>
        <v>64.846000000000004</v>
      </c>
      <c r="H45">
        <f t="shared" si="3"/>
        <v>867.63948000000005</v>
      </c>
      <c r="K45">
        <v>51624</v>
      </c>
      <c r="L45">
        <f t="shared" si="4"/>
        <v>51.624000000000002</v>
      </c>
      <c r="M45">
        <f t="shared" si="5"/>
        <v>690.72912000000008</v>
      </c>
    </row>
    <row r="46" spans="1:13">
      <c r="A46">
        <v>40</v>
      </c>
      <c r="B46">
        <v>90248</v>
      </c>
      <c r="C46">
        <f t="shared" si="0"/>
        <v>90.248000000000005</v>
      </c>
      <c r="D46">
        <f t="shared" si="1"/>
        <v>1207.5182400000001</v>
      </c>
      <c r="F46">
        <v>118922</v>
      </c>
      <c r="G46">
        <f t="shared" si="2"/>
        <v>118.922</v>
      </c>
      <c r="H46">
        <f t="shared" si="3"/>
        <v>1591.1763600000002</v>
      </c>
      <c r="K46">
        <v>92471</v>
      </c>
      <c r="L46">
        <f t="shared" si="4"/>
        <v>92.471000000000004</v>
      </c>
      <c r="M46">
        <f t="shared" si="5"/>
        <v>1237.2619800000002</v>
      </c>
    </row>
    <row r="47" spans="1:13">
      <c r="A47">
        <v>41</v>
      </c>
      <c r="B47">
        <v>93928</v>
      </c>
      <c r="C47">
        <f t="shared" si="0"/>
        <v>93.927999999999997</v>
      </c>
      <c r="D47">
        <f t="shared" si="1"/>
        <v>1256.7566400000001</v>
      </c>
      <c r="F47">
        <v>55154</v>
      </c>
      <c r="G47">
        <f t="shared" si="2"/>
        <v>55.154000000000003</v>
      </c>
      <c r="H47">
        <f t="shared" si="3"/>
        <v>737.96052000000009</v>
      </c>
      <c r="K47">
        <v>64598</v>
      </c>
      <c r="L47">
        <f t="shared" si="4"/>
        <v>64.597999999999999</v>
      </c>
      <c r="M47">
        <f t="shared" si="5"/>
        <v>864.32123999999999</v>
      </c>
    </row>
    <row r="48" spans="1:13">
      <c r="A48">
        <v>42</v>
      </c>
      <c r="B48">
        <v>88079</v>
      </c>
      <c r="C48">
        <f t="shared" si="0"/>
        <v>88.078999999999994</v>
      </c>
      <c r="D48">
        <f t="shared" si="1"/>
        <v>1178.49702</v>
      </c>
      <c r="F48">
        <v>108904</v>
      </c>
      <c r="G48">
        <f t="shared" si="2"/>
        <v>108.904</v>
      </c>
      <c r="H48">
        <f t="shared" si="3"/>
        <v>1457.13552</v>
      </c>
      <c r="K48">
        <v>81786</v>
      </c>
      <c r="L48">
        <f t="shared" si="4"/>
        <v>81.786000000000001</v>
      </c>
      <c r="M48">
        <f t="shared" si="5"/>
        <v>1094.2966800000002</v>
      </c>
    </row>
    <row r="49" spans="1:15">
      <c r="A49">
        <v>43</v>
      </c>
      <c r="B49">
        <v>80067</v>
      </c>
      <c r="C49">
        <f t="shared" si="0"/>
        <v>80.066999999999993</v>
      </c>
      <c r="D49">
        <f t="shared" si="1"/>
        <v>1071.29646</v>
      </c>
      <c r="F49">
        <v>101245</v>
      </c>
      <c r="G49">
        <f t="shared" si="2"/>
        <v>101.245</v>
      </c>
      <c r="H49">
        <f t="shared" si="3"/>
        <v>1354.6581000000001</v>
      </c>
      <c r="K49">
        <v>58508</v>
      </c>
      <c r="L49">
        <f t="shared" si="4"/>
        <v>58.508000000000003</v>
      </c>
      <c r="M49">
        <f t="shared" si="5"/>
        <v>782.83704000000012</v>
      </c>
    </row>
    <row r="50" spans="1:15">
      <c r="A50">
        <v>44</v>
      </c>
      <c r="B50">
        <v>95395</v>
      </c>
      <c r="C50">
        <f t="shared" si="0"/>
        <v>95.394999999999996</v>
      </c>
      <c r="D50">
        <f t="shared" si="1"/>
        <v>1276.3851</v>
      </c>
      <c r="F50">
        <v>83295</v>
      </c>
      <c r="G50">
        <f t="shared" si="2"/>
        <v>83.295000000000002</v>
      </c>
      <c r="H50">
        <f t="shared" si="3"/>
        <v>1114.4871000000001</v>
      </c>
      <c r="K50">
        <v>97054</v>
      </c>
      <c r="L50">
        <f t="shared" si="4"/>
        <v>97.054000000000002</v>
      </c>
      <c r="M50">
        <f t="shared" si="5"/>
        <v>1298.5825200000002</v>
      </c>
    </row>
    <row r="51" spans="1:15">
      <c r="A51">
        <v>45</v>
      </c>
      <c r="B51">
        <v>140150</v>
      </c>
      <c r="C51">
        <f t="shared" si="0"/>
        <v>140.15</v>
      </c>
      <c r="D51">
        <f t="shared" si="1"/>
        <v>1875.2070000000001</v>
      </c>
      <c r="F51">
        <v>91924</v>
      </c>
      <c r="G51">
        <f t="shared" si="2"/>
        <v>91.924000000000007</v>
      </c>
      <c r="H51">
        <f t="shared" si="3"/>
        <v>1229.9431200000001</v>
      </c>
      <c r="K51">
        <v>98681</v>
      </c>
      <c r="L51">
        <f t="shared" si="4"/>
        <v>98.680999999999997</v>
      </c>
      <c r="M51">
        <f t="shared" si="5"/>
        <v>1320.35178</v>
      </c>
    </row>
    <row r="52" spans="1:15">
      <c r="A52">
        <v>46</v>
      </c>
      <c r="B52">
        <v>157313</v>
      </c>
      <c r="C52">
        <f t="shared" si="0"/>
        <v>157.31299999999999</v>
      </c>
      <c r="D52">
        <f t="shared" si="1"/>
        <v>2104.8479400000001</v>
      </c>
      <c r="F52">
        <v>66483</v>
      </c>
      <c r="G52">
        <f t="shared" si="2"/>
        <v>66.483000000000004</v>
      </c>
      <c r="H52">
        <f t="shared" si="3"/>
        <v>889.54254000000014</v>
      </c>
      <c r="K52">
        <v>53756</v>
      </c>
      <c r="L52">
        <f t="shared" si="4"/>
        <v>53.756</v>
      </c>
      <c r="M52">
        <f t="shared" si="5"/>
        <v>719.25528000000008</v>
      </c>
    </row>
    <row r="53" spans="1:15">
      <c r="A53">
        <v>47</v>
      </c>
      <c r="B53">
        <v>71780</v>
      </c>
      <c r="C53">
        <f t="shared" si="0"/>
        <v>71.78</v>
      </c>
      <c r="D53">
        <f t="shared" si="1"/>
        <v>960.41640000000007</v>
      </c>
      <c r="F53">
        <v>38013</v>
      </c>
      <c r="G53">
        <f t="shared" si="2"/>
        <v>38.012999999999998</v>
      </c>
      <c r="H53">
        <f t="shared" si="3"/>
        <v>508.61394000000001</v>
      </c>
      <c r="K53">
        <v>71400</v>
      </c>
      <c r="L53">
        <f t="shared" si="4"/>
        <v>71.400000000000006</v>
      </c>
      <c r="M53">
        <f t="shared" si="5"/>
        <v>955.33200000000011</v>
      </c>
    </row>
    <row r="54" spans="1:15">
      <c r="A54">
        <v>48</v>
      </c>
      <c r="B54">
        <v>133852</v>
      </c>
      <c r="C54">
        <f t="shared" si="0"/>
        <v>133.852</v>
      </c>
      <c r="D54">
        <f t="shared" si="1"/>
        <v>1790.9397600000002</v>
      </c>
      <c r="F54">
        <v>52887</v>
      </c>
      <c r="G54">
        <f t="shared" si="2"/>
        <v>52.887</v>
      </c>
      <c r="H54">
        <f t="shared" si="3"/>
        <v>707.62806</v>
      </c>
      <c r="K54">
        <v>99991</v>
      </c>
      <c r="L54">
        <f t="shared" si="4"/>
        <v>99.991</v>
      </c>
      <c r="M54">
        <f t="shared" si="5"/>
        <v>1337.87958</v>
      </c>
    </row>
    <row r="55" spans="1:15">
      <c r="A55">
        <v>49</v>
      </c>
      <c r="B55">
        <v>80083</v>
      </c>
      <c r="C55">
        <f t="shared" si="0"/>
        <v>80.082999999999998</v>
      </c>
      <c r="D55">
        <f t="shared" si="1"/>
        <v>1071.51054</v>
      </c>
      <c r="F55">
        <v>56515</v>
      </c>
      <c r="G55">
        <f t="shared" si="2"/>
        <v>56.515000000000001</v>
      </c>
      <c r="H55">
        <f t="shared" si="3"/>
        <v>756.17070000000001</v>
      </c>
      <c r="K55">
        <v>58358</v>
      </c>
      <c r="L55">
        <f t="shared" si="4"/>
        <v>58.357999999999997</v>
      </c>
      <c r="M55">
        <f t="shared" si="5"/>
        <v>780.83004000000005</v>
      </c>
    </row>
    <row r="56" spans="1:15">
      <c r="A56">
        <v>50</v>
      </c>
      <c r="B56">
        <v>98443</v>
      </c>
      <c r="C56">
        <f t="shared" si="0"/>
        <v>98.442999999999998</v>
      </c>
      <c r="D56">
        <f t="shared" si="1"/>
        <v>1317.16734</v>
      </c>
      <c r="F56">
        <v>89275</v>
      </c>
      <c r="G56">
        <f t="shared" si="2"/>
        <v>89.275000000000006</v>
      </c>
      <c r="H56">
        <f t="shared" si="3"/>
        <v>1194.4995000000001</v>
      </c>
      <c r="K56">
        <v>62169</v>
      </c>
      <c r="L56">
        <f t="shared" si="4"/>
        <v>62.168999999999997</v>
      </c>
      <c r="M56">
        <f t="shared" si="5"/>
        <v>831.82122000000004</v>
      </c>
    </row>
    <row r="57" spans="1:15">
      <c r="A57" t="s">
        <v>26</v>
      </c>
      <c r="B57">
        <f>AVERAGE(B7:B56)</f>
        <v>85522.62</v>
      </c>
      <c r="C57">
        <f t="shared" ref="C57:D57" si="6">AVERAGE(C7:C56)</f>
        <v>85.522620000000018</v>
      </c>
      <c r="D57">
        <f t="shared" si="6"/>
        <v>1144.2926556000002</v>
      </c>
      <c r="F57">
        <f t="shared" ref="F57" si="7">AVERAGE(F7:F56)</f>
        <v>73537.820000000007</v>
      </c>
      <c r="G57">
        <f t="shared" ref="G57" si="8">AVERAGE(G7:G56)</f>
        <v>73.537819999999982</v>
      </c>
      <c r="H57">
        <f t="shared" ref="H57" si="9">AVERAGE(H7:H56)</f>
        <v>983.93603160000009</v>
      </c>
      <c r="K57">
        <f t="shared" ref="K57" si="10">AVERAGE(K7:K56)</f>
        <v>73762.36</v>
      </c>
      <c r="L57">
        <f t="shared" ref="L57" si="11">AVERAGE(L7:L56)</f>
        <v>73.762360000000001</v>
      </c>
      <c r="M57">
        <f t="shared" ref="M57" si="12">AVERAGE(M7:M56)</f>
        <v>986.94037680000019</v>
      </c>
      <c r="O57" t="s">
        <v>107</v>
      </c>
    </row>
    <row r="58" spans="1:15">
      <c r="A58" t="s">
        <v>38</v>
      </c>
      <c r="B58">
        <f>MIN(B7:B56)</f>
        <v>36359</v>
      </c>
      <c r="C58">
        <f t="shared" ref="C58:M58" si="13">MIN(C7:C56)</f>
        <v>36.359000000000002</v>
      </c>
      <c r="D58">
        <f t="shared" si="13"/>
        <v>486.48342000000002</v>
      </c>
      <c r="F58">
        <f t="shared" si="13"/>
        <v>28071</v>
      </c>
      <c r="G58">
        <f t="shared" si="13"/>
        <v>28.071000000000002</v>
      </c>
      <c r="H58">
        <f t="shared" si="13"/>
        <v>375.58998000000003</v>
      </c>
      <c r="K58">
        <f t="shared" si="13"/>
        <v>22804</v>
      </c>
      <c r="L58">
        <f t="shared" si="13"/>
        <v>22.803999999999998</v>
      </c>
      <c r="M58">
        <f t="shared" si="13"/>
        <v>305.11752000000001</v>
      </c>
      <c r="O58">
        <f>AVERAGE(D57,H57,M57)</f>
        <v>1038.3896880000002</v>
      </c>
    </row>
    <row r="59" spans="1:15">
      <c r="A59" t="s">
        <v>39</v>
      </c>
      <c r="B59">
        <f>MAX(B7:B56)</f>
        <v>157313</v>
      </c>
      <c r="C59">
        <f t="shared" ref="C59:M59" si="14">MAX(C7:C56)</f>
        <v>157.31299999999999</v>
      </c>
      <c r="D59">
        <f t="shared" si="14"/>
        <v>2104.8479400000001</v>
      </c>
      <c r="F59">
        <f t="shared" si="14"/>
        <v>148007</v>
      </c>
      <c r="G59">
        <f t="shared" si="14"/>
        <v>148.00700000000001</v>
      </c>
      <c r="H59">
        <f t="shared" si="14"/>
        <v>1980.3336600000002</v>
      </c>
      <c r="K59">
        <f t="shared" si="14"/>
        <v>135231</v>
      </c>
      <c r="L59">
        <f t="shared" si="14"/>
        <v>135.23099999999999</v>
      </c>
      <c r="M59">
        <f t="shared" si="14"/>
        <v>1809.3907799999999</v>
      </c>
      <c r="O59" t="s">
        <v>108</v>
      </c>
    </row>
    <row r="60" spans="1:15">
      <c r="A60" t="s">
        <v>113</v>
      </c>
      <c r="B60">
        <f>_xlfn.STDEV.S(B7:B56)</f>
        <v>25597.535125986702</v>
      </c>
      <c r="C60">
        <f t="shared" ref="C60:M60" si="15">_xlfn.STDEV.S(C7:C56)</f>
        <v>25.597535125986617</v>
      </c>
      <c r="D60">
        <f t="shared" si="15"/>
        <v>342.49501998570213</v>
      </c>
      <c r="F60">
        <f t="shared" si="15"/>
        <v>28039.066623006336</v>
      </c>
      <c r="G60">
        <f t="shared" si="15"/>
        <v>28.039066623006367</v>
      </c>
      <c r="H60">
        <f t="shared" si="15"/>
        <v>375.16271141582507</v>
      </c>
      <c r="K60">
        <f t="shared" si="15"/>
        <v>21080.462064370095</v>
      </c>
      <c r="L60">
        <f t="shared" si="15"/>
        <v>21.080462064370113</v>
      </c>
      <c r="M60">
        <f t="shared" si="15"/>
        <v>282.05658242127174</v>
      </c>
      <c r="O60">
        <f>_xlfn.STDEV.S(D7:D56,H7:H56,M7:M56)</f>
        <v>341.57224761478614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18"/>
  <sheetViews>
    <sheetView workbookViewId="0">
      <selection activeCell="P55" sqref="P55:P58"/>
    </sheetView>
  </sheetViews>
  <sheetFormatPr baseColWidth="10" defaultRowHeight="15"/>
  <sheetData>
    <row r="1" spans="1:18">
      <c r="A1" s="8" t="s">
        <v>184</v>
      </c>
      <c r="R1" s="3"/>
    </row>
    <row r="2" spans="1:18">
      <c r="C2" s="8" t="s">
        <v>148</v>
      </c>
      <c r="G2" s="8" t="s">
        <v>149</v>
      </c>
      <c r="L2" s="8" t="s">
        <v>150</v>
      </c>
      <c r="R2" s="3"/>
    </row>
    <row r="3" spans="1:18" ht="15" customHeight="1">
      <c r="C3" s="9" t="s">
        <v>145</v>
      </c>
      <c r="G3" s="9" t="s">
        <v>146</v>
      </c>
      <c r="L3" s="9" t="s">
        <v>147</v>
      </c>
      <c r="P3" s="55" t="s">
        <v>73</v>
      </c>
      <c r="Q3" s="56"/>
      <c r="R3" s="3"/>
    </row>
    <row r="4" spans="1:18">
      <c r="C4" t="s">
        <v>20</v>
      </c>
      <c r="E4" t="s">
        <v>21</v>
      </c>
      <c r="G4" t="s">
        <v>20</v>
      </c>
      <c r="I4" t="s">
        <v>21</v>
      </c>
      <c r="L4" t="s">
        <v>20</v>
      </c>
      <c r="N4" t="s">
        <v>21</v>
      </c>
      <c r="P4" s="57">
        <v>36.5</v>
      </c>
      <c r="Q4" s="58">
        <v>475</v>
      </c>
      <c r="R4" s="3"/>
    </row>
    <row r="5" spans="1:18">
      <c r="B5">
        <v>1</v>
      </c>
      <c r="C5">
        <v>25495</v>
      </c>
      <c r="D5">
        <v>25.495000000000001</v>
      </c>
      <c r="E5">
        <f>D5*13.38</f>
        <v>341.12310000000002</v>
      </c>
      <c r="G5">
        <v>28071</v>
      </c>
      <c r="H5">
        <f>G5/1000</f>
        <v>28.071000000000002</v>
      </c>
      <c r="I5">
        <f>H5*13.38</f>
        <v>375.58998000000003</v>
      </c>
      <c r="L5">
        <v>141496</v>
      </c>
      <c r="M5">
        <f>L5/1000</f>
        <v>141.49600000000001</v>
      </c>
      <c r="N5">
        <f>M5*13.38</f>
        <v>1893.2164800000003</v>
      </c>
      <c r="P5" s="59">
        <v>1</v>
      </c>
      <c r="Q5" s="60">
        <f>Q4/35.5</f>
        <v>13.380281690140846</v>
      </c>
      <c r="R5" s="3"/>
    </row>
    <row r="6" spans="1:18">
      <c r="B6">
        <v>2</v>
      </c>
      <c r="C6">
        <v>22472</v>
      </c>
      <c r="D6">
        <v>22.472000000000001</v>
      </c>
      <c r="E6">
        <f t="shared" ref="E6:E54" si="0">D6*13.38</f>
        <v>300.67536000000001</v>
      </c>
      <c r="G6">
        <v>39623</v>
      </c>
      <c r="H6">
        <f t="shared" ref="H6:H54" si="1">G6/1000</f>
        <v>39.622999999999998</v>
      </c>
      <c r="I6">
        <f t="shared" ref="I6:I54" si="2">H6*13.38</f>
        <v>530.15574000000004</v>
      </c>
      <c r="L6">
        <v>80706</v>
      </c>
      <c r="M6">
        <f t="shared" ref="M6:M54" si="3">L6/1000</f>
        <v>80.706000000000003</v>
      </c>
      <c r="N6">
        <f t="shared" ref="N6:N54" si="4">M6*13.38</f>
        <v>1079.8462800000002</v>
      </c>
      <c r="R6" s="3"/>
    </row>
    <row r="7" spans="1:18">
      <c r="B7">
        <v>3</v>
      </c>
      <c r="C7">
        <v>36222</v>
      </c>
      <c r="D7">
        <v>36.222000000000001</v>
      </c>
      <c r="E7">
        <f t="shared" si="0"/>
        <v>484.65036000000003</v>
      </c>
      <c r="G7">
        <v>72622</v>
      </c>
      <c r="H7">
        <f t="shared" si="1"/>
        <v>72.622</v>
      </c>
      <c r="I7">
        <f t="shared" si="2"/>
        <v>971.68236000000002</v>
      </c>
      <c r="L7">
        <v>184534</v>
      </c>
      <c r="M7">
        <f t="shared" si="3"/>
        <v>184.53399999999999</v>
      </c>
      <c r="N7">
        <f t="shared" si="4"/>
        <v>2469.0649200000003</v>
      </c>
      <c r="R7" s="3"/>
    </row>
    <row r="8" spans="1:18">
      <c r="B8">
        <v>4</v>
      </c>
      <c r="C8">
        <v>29547</v>
      </c>
      <c r="D8">
        <v>29.547000000000001</v>
      </c>
      <c r="E8">
        <f t="shared" si="0"/>
        <v>395.33886000000001</v>
      </c>
      <c r="G8">
        <v>147105</v>
      </c>
      <c r="H8">
        <f t="shared" si="1"/>
        <v>147.10499999999999</v>
      </c>
      <c r="I8">
        <f t="shared" si="2"/>
        <v>1968.2648999999999</v>
      </c>
      <c r="L8">
        <v>61008</v>
      </c>
      <c r="M8">
        <f t="shared" si="3"/>
        <v>61.008000000000003</v>
      </c>
      <c r="N8">
        <f t="shared" si="4"/>
        <v>816.28704000000005</v>
      </c>
      <c r="R8" s="3"/>
    </row>
    <row r="9" spans="1:18">
      <c r="B9">
        <v>5</v>
      </c>
      <c r="C9">
        <v>153127</v>
      </c>
      <c r="D9">
        <f t="shared" ref="D9:D54" si="5">C9/1000</f>
        <v>153.12700000000001</v>
      </c>
      <c r="E9">
        <f t="shared" si="0"/>
        <v>2048.8392600000002</v>
      </c>
      <c r="G9">
        <v>148007</v>
      </c>
      <c r="H9">
        <f t="shared" si="1"/>
        <v>148.00700000000001</v>
      </c>
      <c r="I9">
        <f t="shared" si="2"/>
        <v>1980.3336600000002</v>
      </c>
      <c r="L9">
        <v>74250</v>
      </c>
      <c r="M9">
        <f t="shared" si="3"/>
        <v>74.25</v>
      </c>
      <c r="N9">
        <f t="shared" si="4"/>
        <v>993.46500000000003</v>
      </c>
      <c r="R9" s="3"/>
    </row>
    <row r="10" spans="1:18">
      <c r="B10">
        <v>6</v>
      </c>
      <c r="C10">
        <v>120008</v>
      </c>
      <c r="D10">
        <f t="shared" si="5"/>
        <v>120.008</v>
      </c>
      <c r="E10">
        <f t="shared" si="0"/>
        <v>1605.70704</v>
      </c>
      <c r="G10">
        <v>102044</v>
      </c>
      <c r="H10">
        <f t="shared" si="1"/>
        <v>102.044</v>
      </c>
      <c r="I10">
        <f t="shared" si="2"/>
        <v>1365.34872</v>
      </c>
      <c r="L10">
        <v>81939</v>
      </c>
      <c r="M10">
        <f t="shared" si="3"/>
        <v>81.938999999999993</v>
      </c>
      <c r="N10">
        <f t="shared" si="4"/>
        <v>1096.3438200000001</v>
      </c>
      <c r="R10" s="3"/>
    </row>
    <row r="11" spans="1:18">
      <c r="B11">
        <v>7</v>
      </c>
      <c r="C11">
        <v>42426</v>
      </c>
      <c r="D11">
        <f t="shared" si="5"/>
        <v>42.426000000000002</v>
      </c>
      <c r="E11">
        <f t="shared" si="0"/>
        <v>567.65988000000004</v>
      </c>
      <c r="G11">
        <v>64133</v>
      </c>
      <c r="H11">
        <f t="shared" si="1"/>
        <v>64.132999999999996</v>
      </c>
      <c r="I11">
        <f t="shared" si="2"/>
        <v>858.09954000000005</v>
      </c>
      <c r="L11">
        <v>54918</v>
      </c>
      <c r="M11">
        <f t="shared" si="3"/>
        <v>54.917999999999999</v>
      </c>
      <c r="N11">
        <f t="shared" si="4"/>
        <v>734.80284000000006</v>
      </c>
      <c r="R11" s="3"/>
    </row>
    <row r="12" spans="1:18">
      <c r="B12">
        <v>8</v>
      </c>
      <c r="C12">
        <v>38013</v>
      </c>
      <c r="D12">
        <f t="shared" si="5"/>
        <v>38.012999999999998</v>
      </c>
      <c r="E12">
        <f t="shared" si="0"/>
        <v>508.61394000000001</v>
      </c>
      <c r="G12">
        <v>167417</v>
      </c>
      <c r="H12">
        <f t="shared" si="1"/>
        <v>167.417</v>
      </c>
      <c r="I12">
        <f t="shared" si="2"/>
        <v>2240.03946</v>
      </c>
      <c r="L12">
        <v>21007</v>
      </c>
      <c r="M12">
        <f t="shared" si="3"/>
        <v>21.007000000000001</v>
      </c>
      <c r="N12">
        <f t="shared" si="4"/>
        <v>281.07366000000002</v>
      </c>
      <c r="R12" s="3"/>
    </row>
    <row r="13" spans="1:18">
      <c r="B13">
        <v>9</v>
      </c>
      <c r="C13">
        <v>30463</v>
      </c>
      <c r="D13">
        <f t="shared" si="5"/>
        <v>30.463000000000001</v>
      </c>
      <c r="E13">
        <f t="shared" si="0"/>
        <v>407.59494000000007</v>
      </c>
      <c r="G13">
        <v>83385</v>
      </c>
      <c r="H13">
        <f t="shared" si="1"/>
        <v>83.385000000000005</v>
      </c>
      <c r="I13">
        <f t="shared" si="2"/>
        <v>1115.6913000000002</v>
      </c>
      <c r="L13">
        <v>93174</v>
      </c>
      <c r="M13">
        <f t="shared" si="3"/>
        <v>93.174000000000007</v>
      </c>
      <c r="N13">
        <f t="shared" si="4"/>
        <v>1246.6681200000003</v>
      </c>
      <c r="R13" s="3"/>
    </row>
    <row r="14" spans="1:18">
      <c r="B14">
        <v>10</v>
      </c>
      <c r="C14">
        <v>124042</v>
      </c>
      <c r="D14">
        <f t="shared" si="5"/>
        <v>124.042</v>
      </c>
      <c r="E14">
        <f t="shared" si="0"/>
        <v>1659.6819600000001</v>
      </c>
      <c r="G14">
        <v>43105</v>
      </c>
      <c r="H14">
        <f t="shared" si="1"/>
        <v>43.104999999999997</v>
      </c>
      <c r="I14">
        <f t="shared" si="2"/>
        <v>576.74490000000003</v>
      </c>
      <c r="L14">
        <v>94918</v>
      </c>
      <c r="M14">
        <f t="shared" si="3"/>
        <v>94.918000000000006</v>
      </c>
      <c r="N14">
        <f t="shared" si="4"/>
        <v>1270.0028400000001</v>
      </c>
      <c r="R14" s="3"/>
    </row>
    <row r="15" spans="1:18">
      <c r="B15">
        <v>11</v>
      </c>
      <c r="C15">
        <v>36139</v>
      </c>
      <c r="D15">
        <f t="shared" si="5"/>
        <v>36.139000000000003</v>
      </c>
      <c r="E15">
        <f t="shared" si="0"/>
        <v>483.53982000000008</v>
      </c>
      <c r="G15">
        <v>127203</v>
      </c>
      <c r="H15">
        <f t="shared" si="1"/>
        <v>127.203</v>
      </c>
      <c r="I15">
        <f t="shared" si="2"/>
        <v>1701.9761400000002</v>
      </c>
      <c r="L15">
        <v>107787</v>
      </c>
      <c r="M15">
        <f t="shared" si="3"/>
        <v>107.78700000000001</v>
      </c>
      <c r="N15">
        <f t="shared" si="4"/>
        <v>1442.1900600000001</v>
      </c>
      <c r="R15" s="3"/>
    </row>
    <row r="16" spans="1:18">
      <c r="B16">
        <v>12</v>
      </c>
      <c r="C16">
        <v>45851</v>
      </c>
      <c r="D16">
        <f t="shared" si="5"/>
        <v>45.850999999999999</v>
      </c>
      <c r="E16">
        <f t="shared" si="0"/>
        <v>613.48638000000005</v>
      </c>
      <c r="G16">
        <v>75073</v>
      </c>
      <c r="H16">
        <f t="shared" si="1"/>
        <v>75.072999999999993</v>
      </c>
      <c r="I16">
        <f t="shared" si="2"/>
        <v>1004.4767399999999</v>
      </c>
      <c r="L16">
        <v>42202</v>
      </c>
      <c r="M16">
        <f t="shared" si="3"/>
        <v>42.201999999999998</v>
      </c>
      <c r="N16">
        <f t="shared" si="4"/>
        <v>564.66276000000005</v>
      </c>
      <c r="R16" s="3"/>
    </row>
    <row r="17" spans="2:18">
      <c r="B17">
        <v>13</v>
      </c>
      <c r="C17">
        <v>158694</v>
      </c>
      <c r="D17">
        <f t="shared" si="5"/>
        <v>158.69399999999999</v>
      </c>
      <c r="E17">
        <f t="shared" si="0"/>
        <v>2123.3257199999998</v>
      </c>
      <c r="G17">
        <v>43463</v>
      </c>
      <c r="H17">
        <f t="shared" si="1"/>
        <v>43.463000000000001</v>
      </c>
      <c r="I17">
        <f t="shared" si="2"/>
        <v>581.53494000000001</v>
      </c>
      <c r="L17">
        <v>86267</v>
      </c>
      <c r="M17">
        <f t="shared" si="3"/>
        <v>86.266999999999996</v>
      </c>
      <c r="N17">
        <f t="shared" si="4"/>
        <v>1154.2524599999999</v>
      </c>
      <c r="R17" s="3"/>
    </row>
    <row r="18" spans="2:18">
      <c r="B18">
        <v>14</v>
      </c>
      <c r="C18">
        <v>143139</v>
      </c>
      <c r="D18">
        <f t="shared" si="5"/>
        <v>143.13900000000001</v>
      </c>
      <c r="E18">
        <f t="shared" si="0"/>
        <v>1915.1998200000003</v>
      </c>
      <c r="G18">
        <v>110318</v>
      </c>
      <c r="H18">
        <f t="shared" si="1"/>
        <v>110.318</v>
      </c>
      <c r="I18">
        <f t="shared" si="2"/>
        <v>1476.05484</v>
      </c>
      <c r="L18">
        <v>92022</v>
      </c>
      <c r="M18">
        <f t="shared" si="3"/>
        <v>92.022000000000006</v>
      </c>
      <c r="N18">
        <f t="shared" si="4"/>
        <v>1231.2543600000001</v>
      </c>
      <c r="R18" s="3"/>
    </row>
    <row r="19" spans="2:18">
      <c r="B19">
        <v>15</v>
      </c>
      <c r="C19">
        <v>136222</v>
      </c>
      <c r="D19">
        <f t="shared" si="5"/>
        <v>136.22200000000001</v>
      </c>
      <c r="E19">
        <f t="shared" si="0"/>
        <v>1822.6503600000003</v>
      </c>
      <c r="G19">
        <v>67052</v>
      </c>
      <c r="H19">
        <f t="shared" si="1"/>
        <v>67.052000000000007</v>
      </c>
      <c r="I19">
        <f t="shared" si="2"/>
        <v>897.1557600000001</v>
      </c>
      <c r="L19">
        <v>68942</v>
      </c>
      <c r="M19">
        <f t="shared" si="3"/>
        <v>68.941999999999993</v>
      </c>
      <c r="N19">
        <f t="shared" si="4"/>
        <v>922.44395999999995</v>
      </c>
      <c r="R19" s="3"/>
    </row>
    <row r="20" spans="2:18">
      <c r="B20">
        <v>16</v>
      </c>
      <c r="C20">
        <v>83601</v>
      </c>
      <c r="D20">
        <f t="shared" si="5"/>
        <v>83.600999999999999</v>
      </c>
      <c r="E20">
        <f t="shared" si="0"/>
        <v>1118.5813800000001</v>
      </c>
      <c r="G20">
        <v>78568</v>
      </c>
      <c r="H20">
        <f t="shared" si="1"/>
        <v>78.567999999999998</v>
      </c>
      <c r="I20">
        <f t="shared" si="2"/>
        <v>1051.23984</v>
      </c>
      <c r="L20">
        <v>80610</v>
      </c>
      <c r="M20">
        <f t="shared" si="3"/>
        <v>80.61</v>
      </c>
      <c r="N20">
        <f t="shared" si="4"/>
        <v>1078.5617999999999</v>
      </c>
      <c r="R20" s="3"/>
    </row>
    <row r="21" spans="2:18">
      <c r="B21">
        <v>17</v>
      </c>
      <c r="C21">
        <v>189459</v>
      </c>
      <c r="D21">
        <f t="shared" si="5"/>
        <v>189.459</v>
      </c>
      <c r="E21">
        <f t="shared" si="0"/>
        <v>2534.9614200000001</v>
      </c>
      <c r="G21">
        <v>30973</v>
      </c>
      <c r="H21">
        <f t="shared" si="1"/>
        <v>30.972999999999999</v>
      </c>
      <c r="I21">
        <f t="shared" si="2"/>
        <v>414.41874000000001</v>
      </c>
      <c r="L21">
        <v>71593</v>
      </c>
      <c r="M21">
        <f t="shared" si="3"/>
        <v>71.593000000000004</v>
      </c>
      <c r="N21">
        <f t="shared" si="4"/>
        <v>957.91434000000015</v>
      </c>
      <c r="R21" s="3"/>
    </row>
    <row r="22" spans="2:18">
      <c r="B22">
        <v>18</v>
      </c>
      <c r="C22">
        <v>134015</v>
      </c>
      <c r="D22">
        <f t="shared" si="5"/>
        <v>134.01499999999999</v>
      </c>
      <c r="E22">
        <f t="shared" si="0"/>
        <v>1793.1206999999999</v>
      </c>
      <c r="G22">
        <v>97529</v>
      </c>
      <c r="H22">
        <f t="shared" si="1"/>
        <v>97.528999999999996</v>
      </c>
      <c r="I22">
        <f t="shared" si="2"/>
        <v>1304.9380200000001</v>
      </c>
      <c r="L22">
        <v>67802</v>
      </c>
      <c r="M22">
        <f t="shared" si="3"/>
        <v>67.802000000000007</v>
      </c>
      <c r="N22">
        <f t="shared" si="4"/>
        <v>907.19076000000018</v>
      </c>
      <c r="R22" s="3"/>
    </row>
    <row r="23" spans="2:18">
      <c r="B23">
        <v>19</v>
      </c>
      <c r="C23">
        <v>94176</v>
      </c>
      <c r="D23">
        <f t="shared" si="5"/>
        <v>94.176000000000002</v>
      </c>
      <c r="E23">
        <f t="shared" si="0"/>
        <v>1260.0748800000001</v>
      </c>
      <c r="G23">
        <v>44407</v>
      </c>
      <c r="H23">
        <f t="shared" si="1"/>
        <v>44.406999999999996</v>
      </c>
      <c r="I23">
        <f t="shared" si="2"/>
        <v>594.16566</v>
      </c>
      <c r="L23">
        <v>22804</v>
      </c>
      <c r="M23">
        <f t="shared" si="3"/>
        <v>22.803999999999998</v>
      </c>
      <c r="N23">
        <f t="shared" si="4"/>
        <v>305.11752000000001</v>
      </c>
      <c r="R23" s="3"/>
    </row>
    <row r="24" spans="2:18">
      <c r="B24">
        <v>20</v>
      </c>
      <c r="C24">
        <v>119105</v>
      </c>
      <c r="D24">
        <f t="shared" si="5"/>
        <v>119.105</v>
      </c>
      <c r="E24">
        <f t="shared" si="0"/>
        <v>1593.6249000000003</v>
      </c>
      <c r="G24">
        <v>37121</v>
      </c>
      <c r="H24">
        <f t="shared" si="1"/>
        <v>37.121000000000002</v>
      </c>
      <c r="I24">
        <f t="shared" si="2"/>
        <v>496.67898000000008</v>
      </c>
      <c r="L24">
        <v>101270</v>
      </c>
      <c r="M24">
        <f t="shared" si="3"/>
        <v>101.27</v>
      </c>
      <c r="N24">
        <f t="shared" si="4"/>
        <v>1354.9926</v>
      </c>
      <c r="R24" s="3"/>
    </row>
    <row r="25" spans="2:18">
      <c r="B25">
        <v>21</v>
      </c>
      <c r="C25">
        <v>126497</v>
      </c>
      <c r="D25">
        <f t="shared" si="5"/>
        <v>126.497</v>
      </c>
      <c r="E25">
        <f t="shared" si="0"/>
        <v>1692.5298600000001</v>
      </c>
      <c r="G25">
        <v>68250</v>
      </c>
      <c r="H25">
        <f t="shared" si="1"/>
        <v>68.25</v>
      </c>
      <c r="I25">
        <f t="shared" si="2"/>
        <v>913.18500000000006</v>
      </c>
      <c r="L25">
        <v>92431</v>
      </c>
      <c r="M25">
        <f t="shared" si="3"/>
        <v>92.430999999999997</v>
      </c>
      <c r="N25">
        <f t="shared" si="4"/>
        <v>1236.72678</v>
      </c>
      <c r="R25" s="3"/>
    </row>
    <row r="26" spans="2:18">
      <c r="B26">
        <v>22</v>
      </c>
      <c r="C26">
        <v>174330</v>
      </c>
      <c r="D26">
        <f t="shared" si="5"/>
        <v>174.33</v>
      </c>
      <c r="E26">
        <f t="shared" si="0"/>
        <v>2332.5354000000002</v>
      </c>
      <c r="G26">
        <v>81025</v>
      </c>
      <c r="H26">
        <f t="shared" si="1"/>
        <v>81.025000000000006</v>
      </c>
      <c r="I26">
        <f t="shared" si="2"/>
        <v>1084.1145000000001</v>
      </c>
      <c r="L26">
        <v>160208</v>
      </c>
      <c r="M26">
        <f t="shared" si="3"/>
        <v>160.208</v>
      </c>
      <c r="N26">
        <f t="shared" si="4"/>
        <v>2143.58304</v>
      </c>
      <c r="R26" s="3"/>
    </row>
    <row r="27" spans="2:18">
      <c r="B27">
        <v>23</v>
      </c>
      <c r="C27">
        <v>135171</v>
      </c>
      <c r="D27">
        <f t="shared" si="5"/>
        <v>135.17099999999999</v>
      </c>
      <c r="E27">
        <f t="shared" si="0"/>
        <v>1808.58798</v>
      </c>
      <c r="G27">
        <v>69971</v>
      </c>
      <c r="H27">
        <f t="shared" si="1"/>
        <v>69.971000000000004</v>
      </c>
      <c r="I27">
        <f t="shared" si="2"/>
        <v>936.21198000000015</v>
      </c>
      <c r="L27">
        <v>85240</v>
      </c>
      <c r="M27">
        <f t="shared" si="3"/>
        <v>85.24</v>
      </c>
      <c r="N27">
        <f t="shared" si="4"/>
        <v>1140.5111999999999</v>
      </c>
      <c r="R27" s="3"/>
    </row>
    <row r="28" spans="2:18">
      <c r="B28">
        <v>24</v>
      </c>
      <c r="C28">
        <v>58066</v>
      </c>
      <c r="D28">
        <f t="shared" si="5"/>
        <v>58.066000000000003</v>
      </c>
      <c r="E28">
        <f t="shared" si="0"/>
        <v>776.92308000000003</v>
      </c>
      <c r="G28">
        <v>53600</v>
      </c>
      <c r="H28">
        <f t="shared" si="1"/>
        <v>53.6</v>
      </c>
      <c r="I28">
        <f t="shared" si="2"/>
        <v>717.16800000000001</v>
      </c>
      <c r="L28">
        <v>165016</v>
      </c>
      <c r="M28">
        <f t="shared" si="3"/>
        <v>165.01599999999999</v>
      </c>
      <c r="N28">
        <f t="shared" si="4"/>
        <v>2207.91408</v>
      </c>
      <c r="R28" s="3"/>
    </row>
    <row r="29" spans="2:18">
      <c r="B29">
        <v>25</v>
      </c>
      <c r="C29">
        <v>46359</v>
      </c>
      <c r="D29">
        <f t="shared" si="5"/>
        <v>46.359000000000002</v>
      </c>
      <c r="E29">
        <f t="shared" si="0"/>
        <v>620.28342000000009</v>
      </c>
      <c r="G29">
        <v>75664</v>
      </c>
      <c r="H29">
        <f t="shared" si="1"/>
        <v>75.664000000000001</v>
      </c>
      <c r="I29">
        <f t="shared" si="2"/>
        <v>1012.3843200000001</v>
      </c>
      <c r="L29">
        <v>53824</v>
      </c>
      <c r="M29">
        <f t="shared" si="3"/>
        <v>53.823999999999998</v>
      </c>
      <c r="N29">
        <f t="shared" si="4"/>
        <v>720.16512</v>
      </c>
      <c r="R29" s="3"/>
    </row>
    <row r="30" spans="2:18">
      <c r="B30">
        <v>26</v>
      </c>
      <c r="C30">
        <v>85632</v>
      </c>
      <c r="D30">
        <f t="shared" si="5"/>
        <v>85.632000000000005</v>
      </c>
      <c r="E30">
        <f t="shared" si="0"/>
        <v>1145.7561600000001</v>
      </c>
      <c r="G30">
        <v>68029</v>
      </c>
      <c r="H30">
        <f t="shared" si="1"/>
        <v>68.028999999999996</v>
      </c>
      <c r="I30">
        <f t="shared" si="2"/>
        <v>910.22802000000001</v>
      </c>
      <c r="L30">
        <v>86045</v>
      </c>
      <c r="M30">
        <f t="shared" si="3"/>
        <v>86.045000000000002</v>
      </c>
      <c r="N30">
        <f t="shared" si="4"/>
        <v>1151.2821000000001</v>
      </c>
      <c r="R30" s="3"/>
    </row>
    <row r="31" spans="2:18">
      <c r="B31">
        <v>27</v>
      </c>
      <c r="C31">
        <v>93416</v>
      </c>
      <c r="D31">
        <f t="shared" si="5"/>
        <v>93.415999999999997</v>
      </c>
      <c r="E31">
        <f t="shared" si="0"/>
        <v>1249.90608</v>
      </c>
      <c r="G31">
        <v>195341</v>
      </c>
      <c r="H31">
        <f t="shared" si="1"/>
        <v>195.34100000000001</v>
      </c>
      <c r="I31">
        <f t="shared" si="2"/>
        <v>2613.6625800000002</v>
      </c>
      <c r="L31">
        <v>95805</v>
      </c>
      <c r="M31">
        <f t="shared" si="3"/>
        <v>95.805000000000007</v>
      </c>
      <c r="N31">
        <f t="shared" si="4"/>
        <v>1281.8709000000001</v>
      </c>
      <c r="R31" s="3"/>
    </row>
    <row r="32" spans="2:18">
      <c r="B32">
        <v>28</v>
      </c>
      <c r="C32">
        <v>74083</v>
      </c>
      <c r="D32">
        <f t="shared" si="5"/>
        <v>74.082999999999998</v>
      </c>
      <c r="E32">
        <f t="shared" si="0"/>
        <v>991.23054000000002</v>
      </c>
      <c r="G32">
        <v>71840</v>
      </c>
      <c r="H32">
        <f t="shared" si="1"/>
        <v>71.84</v>
      </c>
      <c r="I32">
        <f t="shared" si="2"/>
        <v>961.21920000000011</v>
      </c>
      <c r="L32">
        <v>73007</v>
      </c>
      <c r="M32">
        <f t="shared" si="3"/>
        <v>73.007000000000005</v>
      </c>
      <c r="N32">
        <f t="shared" si="4"/>
        <v>976.83366000000012</v>
      </c>
      <c r="R32" s="3"/>
    </row>
    <row r="33" spans="2:18">
      <c r="B33">
        <v>29</v>
      </c>
      <c r="C33">
        <v>58822</v>
      </c>
      <c r="D33">
        <f t="shared" si="5"/>
        <v>58.822000000000003</v>
      </c>
      <c r="E33">
        <f t="shared" si="0"/>
        <v>787.03836000000013</v>
      </c>
      <c r="G33">
        <v>63600</v>
      </c>
      <c r="H33">
        <f t="shared" si="1"/>
        <v>63.6</v>
      </c>
      <c r="I33">
        <f t="shared" si="2"/>
        <v>850.96800000000007</v>
      </c>
      <c r="L33">
        <v>73278</v>
      </c>
      <c r="M33">
        <f t="shared" si="3"/>
        <v>73.278000000000006</v>
      </c>
      <c r="N33">
        <f t="shared" si="4"/>
        <v>980.45964000000015</v>
      </c>
      <c r="R33" s="3"/>
    </row>
    <row r="34" spans="2:18">
      <c r="B34">
        <v>30</v>
      </c>
      <c r="C34">
        <v>69649</v>
      </c>
      <c r="D34">
        <f t="shared" si="5"/>
        <v>69.649000000000001</v>
      </c>
      <c r="E34">
        <f t="shared" si="0"/>
        <v>931.90362000000005</v>
      </c>
      <c r="G34">
        <v>52173</v>
      </c>
      <c r="H34">
        <f t="shared" si="1"/>
        <v>52.173000000000002</v>
      </c>
      <c r="I34">
        <f t="shared" si="2"/>
        <v>698.07474000000002</v>
      </c>
      <c r="L34">
        <v>144643</v>
      </c>
      <c r="M34">
        <f t="shared" si="3"/>
        <v>144.643</v>
      </c>
      <c r="N34">
        <f t="shared" si="4"/>
        <v>1935.3233400000001</v>
      </c>
      <c r="R34" s="3"/>
    </row>
    <row r="35" spans="2:18">
      <c r="B35">
        <v>31</v>
      </c>
      <c r="C35">
        <v>153141</v>
      </c>
      <c r="D35">
        <f t="shared" si="5"/>
        <v>153.14099999999999</v>
      </c>
      <c r="E35">
        <f t="shared" si="0"/>
        <v>2049.0265800000002</v>
      </c>
      <c r="G35">
        <v>173573</v>
      </c>
      <c r="H35">
        <f t="shared" si="1"/>
        <v>173.57300000000001</v>
      </c>
      <c r="I35">
        <f t="shared" si="2"/>
        <v>2322.4067400000004</v>
      </c>
      <c r="L35">
        <v>29925</v>
      </c>
      <c r="M35">
        <f t="shared" si="3"/>
        <v>29.925000000000001</v>
      </c>
      <c r="N35">
        <f t="shared" si="4"/>
        <v>400.39650000000006</v>
      </c>
      <c r="R35" s="3"/>
    </row>
    <row r="36" spans="2:18">
      <c r="B36">
        <v>32</v>
      </c>
      <c r="C36">
        <v>94482</v>
      </c>
      <c r="D36">
        <f t="shared" si="5"/>
        <v>94.481999999999999</v>
      </c>
      <c r="E36">
        <f t="shared" si="0"/>
        <v>1264.1691600000001</v>
      </c>
      <c r="G36">
        <v>101178</v>
      </c>
      <c r="H36">
        <f t="shared" si="1"/>
        <v>101.178</v>
      </c>
      <c r="I36">
        <f t="shared" si="2"/>
        <v>1353.7616399999999</v>
      </c>
      <c r="L36">
        <v>165231</v>
      </c>
      <c r="M36">
        <f t="shared" si="3"/>
        <v>165.23099999999999</v>
      </c>
      <c r="N36">
        <f t="shared" si="4"/>
        <v>2210.7907800000003</v>
      </c>
      <c r="R36" s="3"/>
    </row>
    <row r="37" spans="2:18">
      <c r="B37">
        <v>33</v>
      </c>
      <c r="C37">
        <v>111110</v>
      </c>
      <c r="D37">
        <f t="shared" si="5"/>
        <v>111.11</v>
      </c>
      <c r="E37">
        <f t="shared" si="0"/>
        <v>1486.6518000000001</v>
      </c>
      <c r="G37">
        <v>153003</v>
      </c>
      <c r="H37">
        <f t="shared" si="1"/>
        <v>153.00299999999999</v>
      </c>
      <c r="I37">
        <f t="shared" si="2"/>
        <v>2047.1801399999999</v>
      </c>
      <c r="L37">
        <v>77833</v>
      </c>
      <c r="M37">
        <f t="shared" si="3"/>
        <v>77.832999999999998</v>
      </c>
      <c r="N37">
        <f t="shared" si="4"/>
        <v>1041.40554</v>
      </c>
      <c r="R37" s="3"/>
    </row>
    <row r="38" spans="2:18">
      <c r="B38">
        <v>34</v>
      </c>
      <c r="C38">
        <v>122952</v>
      </c>
      <c r="D38">
        <f t="shared" si="5"/>
        <v>122.952</v>
      </c>
      <c r="E38">
        <f t="shared" si="0"/>
        <v>1645.0977600000001</v>
      </c>
      <c r="G38">
        <v>53600</v>
      </c>
      <c r="H38">
        <f t="shared" si="1"/>
        <v>53.6</v>
      </c>
      <c r="I38">
        <f t="shared" si="2"/>
        <v>717.16800000000001</v>
      </c>
      <c r="L38">
        <v>60671</v>
      </c>
      <c r="M38">
        <f t="shared" si="3"/>
        <v>60.670999999999999</v>
      </c>
      <c r="N38">
        <f t="shared" si="4"/>
        <v>811.77798000000007</v>
      </c>
      <c r="R38" s="3"/>
    </row>
    <row r="39" spans="2:18">
      <c r="B39">
        <v>35</v>
      </c>
      <c r="C39">
        <v>152202</v>
      </c>
      <c r="D39">
        <f t="shared" si="5"/>
        <v>152.202</v>
      </c>
      <c r="E39">
        <f t="shared" si="0"/>
        <v>2036.4627600000001</v>
      </c>
      <c r="G39">
        <v>156321</v>
      </c>
      <c r="H39">
        <f t="shared" si="1"/>
        <v>156.321</v>
      </c>
      <c r="I39">
        <f t="shared" si="2"/>
        <v>2091.5749799999999</v>
      </c>
      <c r="L39">
        <v>73980</v>
      </c>
      <c r="M39">
        <f t="shared" si="3"/>
        <v>73.98</v>
      </c>
      <c r="N39">
        <f t="shared" si="4"/>
        <v>989.8524000000001</v>
      </c>
      <c r="R39" s="3"/>
    </row>
    <row r="40" spans="2:18">
      <c r="B40">
        <v>36</v>
      </c>
      <c r="C40">
        <v>136878</v>
      </c>
      <c r="D40">
        <f t="shared" si="5"/>
        <v>136.87799999999999</v>
      </c>
      <c r="E40">
        <f t="shared" si="0"/>
        <v>1831.4276399999999</v>
      </c>
      <c r="G40">
        <v>158138</v>
      </c>
      <c r="H40">
        <f t="shared" si="1"/>
        <v>158.13800000000001</v>
      </c>
      <c r="I40">
        <f t="shared" si="2"/>
        <v>2115.8864400000002</v>
      </c>
      <c r="L40">
        <v>42964</v>
      </c>
      <c r="M40">
        <f t="shared" si="3"/>
        <v>42.963999999999999</v>
      </c>
      <c r="N40">
        <f t="shared" si="4"/>
        <v>574.85832000000005</v>
      </c>
      <c r="R40" s="3"/>
    </row>
    <row r="41" spans="2:18">
      <c r="B41">
        <v>37</v>
      </c>
      <c r="C41">
        <v>170610</v>
      </c>
      <c r="D41">
        <f t="shared" si="5"/>
        <v>170.61</v>
      </c>
      <c r="E41">
        <f t="shared" si="0"/>
        <v>2282.7618000000002</v>
      </c>
      <c r="G41">
        <v>145310</v>
      </c>
      <c r="H41">
        <f t="shared" si="1"/>
        <v>145.31</v>
      </c>
      <c r="I41">
        <f t="shared" si="2"/>
        <v>1944.2478000000001</v>
      </c>
      <c r="L41">
        <v>133195</v>
      </c>
      <c r="M41">
        <f t="shared" si="3"/>
        <v>133.19499999999999</v>
      </c>
      <c r="N41">
        <f t="shared" si="4"/>
        <v>1782.1491000000001</v>
      </c>
      <c r="R41" s="3"/>
    </row>
    <row r="42" spans="2:18">
      <c r="B42">
        <v>38</v>
      </c>
      <c r="C42">
        <v>197162</v>
      </c>
      <c r="D42">
        <f t="shared" si="5"/>
        <v>197.16200000000001</v>
      </c>
      <c r="E42">
        <f t="shared" si="0"/>
        <v>2638.0275600000004</v>
      </c>
      <c r="G42">
        <v>41593</v>
      </c>
      <c r="H42">
        <f t="shared" si="1"/>
        <v>41.593000000000004</v>
      </c>
      <c r="I42">
        <f t="shared" si="2"/>
        <v>556.51434000000006</v>
      </c>
      <c r="L42">
        <v>95177</v>
      </c>
      <c r="M42">
        <f t="shared" si="3"/>
        <v>95.177000000000007</v>
      </c>
      <c r="N42">
        <f t="shared" si="4"/>
        <v>1273.4682600000001</v>
      </c>
      <c r="R42" s="3"/>
    </row>
    <row r="43" spans="2:18">
      <c r="B43">
        <v>39</v>
      </c>
      <c r="C43">
        <v>74015</v>
      </c>
      <c r="D43">
        <f t="shared" si="5"/>
        <v>74.015000000000001</v>
      </c>
      <c r="E43">
        <f t="shared" si="0"/>
        <v>990.3207000000001</v>
      </c>
      <c r="G43">
        <v>64846</v>
      </c>
      <c r="H43">
        <f t="shared" si="1"/>
        <v>64.846000000000004</v>
      </c>
      <c r="I43">
        <f t="shared" si="2"/>
        <v>867.63948000000005</v>
      </c>
      <c r="L43">
        <v>51624</v>
      </c>
      <c r="M43">
        <f t="shared" si="3"/>
        <v>51.624000000000002</v>
      </c>
      <c r="N43">
        <f t="shared" si="4"/>
        <v>690.72912000000008</v>
      </c>
      <c r="R43" s="3"/>
    </row>
    <row r="44" spans="2:18">
      <c r="B44">
        <v>40</v>
      </c>
      <c r="C44">
        <v>20248</v>
      </c>
      <c r="D44">
        <f t="shared" si="5"/>
        <v>20.248000000000001</v>
      </c>
      <c r="E44">
        <f t="shared" si="0"/>
        <v>270.91824000000003</v>
      </c>
      <c r="G44">
        <v>178922</v>
      </c>
      <c r="H44">
        <f t="shared" si="1"/>
        <v>178.922</v>
      </c>
      <c r="I44">
        <f t="shared" si="2"/>
        <v>2393.9763600000001</v>
      </c>
      <c r="L44">
        <v>92471</v>
      </c>
      <c r="M44">
        <f t="shared" si="3"/>
        <v>92.471000000000004</v>
      </c>
      <c r="N44">
        <f t="shared" si="4"/>
        <v>1237.2619800000002</v>
      </c>
      <c r="R44" s="3"/>
    </row>
    <row r="45" spans="2:18">
      <c r="B45">
        <v>41</v>
      </c>
      <c r="C45">
        <v>33928</v>
      </c>
      <c r="D45">
        <f t="shared" si="5"/>
        <v>33.927999999999997</v>
      </c>
      <c r="E45">
        <f t="shared" si="0"/>
        <v>453.95663999999999</v>
      </c>
      <c r="G45">
        <v>55154</v>
      </c>
      <c r="H45">
        <f t="shared" si="1"/>
        <v>55.154000000000003</v>
      </c>
      <c r="I45">
        <f t="shared" si="2"/>
        <v>737.96052000000009</v>
      </c>
      <c r="L45">
        <v>64598</v>
      </c>
      <c r="M45">
        <f t="shared" si="3"/>
        <v>64.597999999999999</v>
      </c>
      <c r="N45">
        <f t="shared" si="4"/>
        <v>864.32123999999999</v>
      </c>
      <c r="R45" s="3"/>
    </row>
    <row r="46" spans="2:18">
      <c r="B46">
        <v>42</v>
      </c>
      <c r="C46">
        <v>98079</v>
      </c>
      <c r="D46">
        <f t="shared" si="5"/>
        <v>98.078999999999994</v>
      </c>
      <c r="E46">
        <f t="shared" si="0"/>
        <v>1312.29702</v>
      </c>
      <c r="G46">
        <v>108904</v>
      </c>
      <c r="H46">
        <f t="shared" si="1"/>
        <v>108.904</v>
      </c>
      <c r="I46">
        <f t="shared" si="2"/>
        <v>1457.13552</v>
      </c>
      <c r="L46">
        <v>81786</v>
      </c>
      <c r="M46">
        <f t="shared" si="3"/>
        <v>81.786000000000001</v>
      </c>
      <c r="N46">
        <f t="shared" si="4"/>
        <v>1094.2966800000002</v>
      </c>
      <c r="R46" s="3"/>
    </row>
    <row r="47" spans="2:18">
      <c r="B47">
        <v>43</v>
      </c>
      <c r="C47">
        <v>150067</v>
      </c>
      <c r="D47">
        <f t="shared" si="5"/>
        <v>150.06700000000001</v>
      </c>
      <c r="E47">
        <f t="shared" si="0"/>
        <v>2007.8964600000002</v>
      </c>
      <c r="G47">
        <v>161245</v>
      </c>
      <c r="H47">
        <f t="shared" si="1"/>
        <v>161.245</v>
      </c>
      <c r="I47">
        <f t="shared" si="2"/>
        <v>2157.4581000000003</v>
      </c>
      <c r="L47">
        <v>58508</v>
      </c>
      <c r="M47">
        <f t="shared" si="3"/>
        <v>58.508000000000003</v>
      </c>
      <c r="N47">
        <f t="shared" si="4"/>
        <v>782.83704000000012</v>
      </c>
      <c r="R47" s="3"/>
    </row>
    <row r="48" spans="2:18">
      <c r="B48">
        <v>44</v>
      </c>
      <c r="C48">
        <v>75395</v>
      </c>
      <c r="D48">
        <f t="shared" si="5"/>
        <v>75.394999999999996</v>
      </c>
      <c r="E48">
        <f t="shared" si="0"/>
        <v>1008.7851000000001</v>
      </c>
      <c r="G48">
        <v>83295</v>
      </c>
      <c r="H48">
        <f t="shared" si="1"/>
        <v>83.295000000000002</v>
      </c>
      <c r="I48">
        <f t="shared" si="2"/>
        <v>1114.4871000000001</v>
      </c>
      <c r="L48">
        <v>107054</v>
      </c>
      <c r="M48">
        <f t="shared" si="3"/>
        <v>107.054</v>
      </c>
      <c r="N48">
        <f t="shared" si="4"/>
        <v>1432.3825200000001</v>
      </c>
      <c r="R48" s="3"/>
    </row>
    <row r="49" spans="2:18">
      <c r="B49">
        <v>45</v>
      </c>
      <c r="C49">
        <v>60150</v>
      </c>
      <c r="D49">
        <f t="shared" si="5"/>
        <v>60.15</v>
      </c>
      <c r="E49">
        <f t="shared" si="0"/>
        <v>804.80700000000002</v>
      </c>
      <c r="G49">
        <v>91924</v>
      </c>
      <c r="H49">
        <f t="shared" si="1"/>
        <v>91.924000000000007</v>
      </c>
      <c r="I49">
        <f t="shared" si="2"/>
        <v>1229.9431200000001</v>
      </c>
      <c r="L49">
        <v>98681</v>
      </c>
      <c r="M49">
        <f t="shared" si="3"/>
        <v>98.680999999999997</v>
      </c>
      <c r="N49">
        <f t="shared" si="4"/>
        <v>1320.35178</v>
      </c>
      <c r="R49" s="3"/>
    </row>
    <row r="50" spans="2:18">
      <c r="B50">
        <v>46</v>
      </c>
      <c r="C50">
        <v>127313</v>
      </c>
      <c r="D50">
        <f t="shared" si="5"/>
        <v>127.313</v>
      </c>
      <c r="E50">
        <f t="shared" si="0"/>
        <v>1703.4479400000002</v>
      </c>
      <c r="G50">
        <v>66483</v>
      </c>
      <c r="H50">
        <f t="shared" si="1"/>
        <v>66.483000000000004</v>
      </c>
      <c r="I50">
        <f t="shared" si="2"/>
        <v>889.54254000000014</v>
      </c>
      <c r="L50">
        <v>73756</v>
      </c>
      <c r="M50">
        <f t="shared" si="3"/>
        <v>73.756</v>
      </c>
      <c r="N50">
        <f t="shared" si="4"/>
        <v>986.85528000000011</v>
      </c>
      <c r="R50" s="3"/>
    </row>
    <row r="51" spans="2:18">
      <c r="B51">
        <v>47</v>
      </c>
      <c r="C51">
        <v>201780</v>
      </c>
      <c r="D51">
        <f t="shared" si="5"/>
        <v>201.78</v>
      </c>
      <c r="E51">
        <f t="shared" si="0"/>
        <v>2699.8164000000002</v>
      </c>
      <c r="G51">
        <v>38013</v>
      </c>
      <c r="H51">
        <f t="shared" si="1"/>
        <v>38.012999999999998</v>
      </c>
      <c r="I51">
        <f t="shared" si="2"/>
        <v>508.61394000000001</v>
      </c>
      <c r="L51">
        <v>131400</v>
      </c>
      <c r="M51">
        <f t="shared" si="3"/>
        <v>131.4</v>
      </c>
      <c r="N51">
        <f t="shared" si="4"/>
        <v>1758.1320000000003</v>
      </c>
      <c r="R51" s="3"/>
    </row>
    <row r="52" spans="2:18">
      <c r="B52">
        <v>48</v>
      </c>
      <c r="C52">
        <v>193852</v>
      </c>
      <c r="D52">
        <f t="shared" si="5"/>
        <v>193.852</v>
      </c>
      <c r="E52">
        <f t="shared" si="0"/>
        <v>2593.7397600000004</v>
      </c>
      <c r="G52">
        <v>52887</v>
      </c>
      <c r="H52">
        <f t="shared" si="1"/>
        <v>52.887</v>
      </c>
      <c r="I52">
        <f t="shared" si="2"/>
        <v>707.62806</v>
      </c>
      <c r="L52">
        <v>209991</v>
      </c>
      <c r="M52">
        <f t="shared" si="3"/>
        <v>209.99100000000001</v>
      </c>
      <c r="N52">
        <f t="shared" si="4"/>
        <v>2809.6795800000004</v>
      </c>
      <c r="R52" s="3"/>
    </row>
    <row r="53" spans="2:18">
      <c r="B53">
        <v>49</v>
      </c>
      <c r="C53">
        <v>30083</v>
      </c>
      <c r="D53">
        <f t="shared" si="5"/>
        <v>30.082999999999998</v>
      </c>
      <c r="E53">
        <f t="shared" si="0"/>
        <v>402.51053999999999</v>
      </c>
      <c r="G53">
        <v>26515</v>
      </c>
      <c r="H53">
        <f>G53/1000</f>
        <v>26.515000000000001</v>
      </c>
      <c r="I53">
        <f t="shared" si="2"/>
        <v>354.77070000000003</v>
      </c>
      <c r="L53">
        <v>68358</v>
      </c>
      <c r="M53">
        <f t="shared" si="3"/>
        <v>68.358000000000004</v>
      </c>
      <c r="N53">
        <f t="shared" si="4"/>
        <v>914.63004000000012</v>
      </c>
      <c r="R53" s="3"/>
    </row>
    <row r="54" spans="2:18">
      <c r="B54">
        <v>50</v>
      </c>
      <c r="C54">
        <v>188443</v>
      </c>
      <c r="D54">
        <f t="shared" si="5"/>
        <v>188.44300000000001</v>
      </c>
      <c r="E54">
        <f t="shared" si="0"/>
        <v>2521.3673400000002</v>
      </c>
      <c r="G54">
        <v>189275</v>
      </c>
      <c r="H54">
        <f t="shared" si="1"/>
        <v>189.27500000000001</v>
      </c>
      <c r="I54">
        <f t="shared" si="2"/>
        <v>2532.4995000000004</v>
      </c>
      <c r="L54">
        <v>32169</v>
      </c>
      <c r="M54">
        <f t="shared" si="3"/>
        <v>32.168999999999997</v>
      </c>
      <c r="N54">
        <f t="shared" si="4"/>
        <v>430.42122000000001</v>
      </c>
      <c r="R54" s="3"/>
    </row>
    <row r="55" spans="2:18">
      <c r="B55" t="s">
        <v>26</v>
      </c>
      <c r="C55">
        <f>AVERAGE(C5:C54)</f>
        <v>101522.62</v>
      </c>
      <c r="D55">
        <f t="shared" ref="D55:E55" si="6">AVERAGE(D5:D54)</f>
        <v>101.52262</v>
      </c>
      <c r="E55">
        <f t="shared" si="6"/>
        <v>1358.3726555999997</v>
      </c>
      <c r="G55">
        <f t="shared" ref="G55" si="7">AVERAGE(G5:G54)</f>
        <v>90137.82</v>
      </c>
      <c r="H55">
        <f t="shared" ref="H55" si="8">AVERAGE(H5:H54)</f>
        <v>90.137819999999977</v>
      </c>
      <c r="I55">
        <f t="shared" ref="I55" si="9">AVERAGE(I5:I54)</f>
        <v>1206.0440316000002</v>
      </c>
      <c r="L55">
        <f t="shared" ref="L55" si="10">AVERAGE(L5:L54)</f>
        <v>88162.36</v>
      </c>
      <c r="M55">
        <f t="shared" ref="M55" si="11">AVERAGE(M5:M54)</f>
        <v>88.162359999999993</v>
      </c>
      <c r="N55">
        <f t="shared" ref="N55" si="12">AVERAGE(N5:N54)</f>
        <v>1179.6123768000004</v>
      </c>
      <c r="P55" s="9" t="s">
        <v>107</v>
      </c>
      <c r="R55" s="3"/>
    </row>
    <row r="56" spans="2:18">
      <c r="B56" t="s">
        <v>38</v>
      </c>
      <c r="C56">
        <f>MIN(C5:C54)</f>
        <v>20248</v>
      </c>
      <c r="D56">
        <f t="shared" ref="D56:N56" si="13">MIN(D5:D54)</f>
        <v>20.248000000000001</v>
      </c>
      <c r="E56">
        <f t="shared" si="13"/>
        <v>270.91824000000003</v>
      </c>
      <c r="G56">
        <f t="shared" si="13"/>
        <v>26515</v>
      </c>
      <c r="H56">
        <f t="shared" si="13"/>
        <v>26.515000000000001</v>
      </c>
      <c r="I56">
        <f t="shared" si="13"/>
        <v>354.77070000000003</v>
      </c>
      <c r="L56">
        <f t="shared" si="13"/>
        <v>21007</v>
      </c>
      <c r="M56">
        <f t="shared" si="13"/>
        <v>21.007000000000001</v>
      </c>
      <c r="N56">
        <f t="shared" si="13"/>
        <v>281.07366000000002</v>
      </c>
      <c r="P56" s="9">
        <f>AVERAGE(E55,I55,N55)</f>
        <v>1248.0096880000001</v>
      </c>
      <c r="R56" s="3"/>
    </row>
    <row r="57" spans="2:18">
      <c r="B57" t="s">
        <v>39</v>
      </c>
      <c r="C57">
        <f>MAX(C5:C54)</f>
        <v>201780</v>
      </c>
      <c r="D57">
        <f t="shared" ref="D57:N57" si="14">MAX(D5:D54)</f>
        <v>201.78</v>
      </c>
      <c r="E57">
        <f t="shared" si="14"/>
        <v>2699.8164000000002</v>
      </c>
      <c r="G57">
        <f t="shared" si="14"/>
        <v>195341</v>
      </c>
      <c r="H57">
        <f t="shared" si="14"/>
        <v>195.34100000000001</v>
      </c>
      <c r="I57">
        <f t="shared" si="14"/>
        <v>2613.6625800000002</v>
      </c>
      <c r="L57">
        <f t="shared" si="14"/>
        <v>209991</v>
      </c>
      <c r="M57">
        <f t="shared" si="14"/>
        <v>209.99100000000001</v>
      </c>
      <c r="N57">
        <f t="shared" si="14"/>
        <v>2809.6795800000004</v>
      </c>
      <c r="P57" s="9" t="s">
        <v>108</v>
      </c>
      <c r="R57" s="3"/>
    </row>
    <row r="58" spans="2:18">
      <c r="B58" t="s">
        <v>113</v>
      </c>
      <c r="C58">
        <f>_xlfn.STDEV.S(C5:C54)</f>
        <v>54606.066871914525</v>
      </c>
      <c r="D58">
        <f t="shared" ref="D58:N58" si="15">_xlfn.STDEV.S(D5:D54)</f>
        <v>54.606066871914472</v>
      </c>
      <c r="E58">
        <f t="shared" si="15"/>
        <v>730.6291747462169</v>
      </c>
      <c r="G58">
        <f t="shared" si="15"/>
        <v>47965.436620035187</v>
      </c>
      <c r="H58">
        <f t="shared" si="15"/>
        <v>47.965436620035256</v>
      </c>
      <c r="I58">
        <f t="shared" si="15"/>
        <v>641.77754197607044</v>
      </c>
      <c r="L58">
        <f t="shared" si="15"/>
        <v>40703.800595130713</v>
      </c>
      <c r="M58">
        <f t="shared" si="15"/>
        <v>40.70380059513078</v>
      </c>
      <c r="N58">
        <f t="shared" si="15"/>
        <v>544.61685196284816</v>
      </c>
      <c r="P58" s="9">
        <f>_xlfn.STDEV.S(E5:E54,I5:I54,N5:N54)</f>
        <v>644.04294391154951</v>
      </c>
      <c r="R58" s="3"/>
    </row>
    <row r="59" spans="2:18">
      <c r="R59" s="3"/>
    </row>
    <row r="60" spans="2:18">
      <c r="R60" s="3"/>
    </row>
    <row r="61" spans="2:18">
      <c r="R61" s="3"/>
    </row>
    <row r="62" spans="2:18">
      <c r="R62" s="3"/>
    </row>
    <row r="63" spans="2:18">
      <c r="R63" s="3"/>
    </row>
    <row r="64" spans="2:18">
      <c r="R64" s="3"/>
    </row>
    <row r="65" spans="18:18">
      <c r="R65" s="3"/>
    </row>
    <row r="66" spans="18:18">
      <c r="R66" s="3"/>
    </row>
    <row r="67" spans="18:18">
      <c r="R67" s="3"/>
    </row>
    <row r="68" spans="18:18">
      <c r="R68" s="3"/>
    </row>
    <row r="69" spans="18:18">
      <c r="R69" s="3"/>
    </row>
    <row r="70" spans="18:18">
      <c r="R70" s="3"/>
    </row>
    <row r="71" spans="18:18">
      <c r="R71" s="3"/>
    </row>
    <row r="72" spans="18:18">
      <c r="R72" s="3"/>
    </row>
    <row r="73" spans="18:18">
      <c r="R73" s="3"/>
    </row>
    <row r="74" spans="18:18">
      <c r="R74" s="3"/>
    </row>
    <row r="75" spans="18:18">
      <c r="R75" s="3"/>
    </row>
    <row r="76" spans="18:18">
      <c r="R76" s="3"/>
    </row>
    <row r="77" spans="18:18">
      <c r="R77" s="3"/>
    </row>
    <row r="78" spans="18:18">
      <c r="R78" s="3"/>
    </row>
    <row r="79" spans="18:18">
      <c r="R79" s="3"/>
    </row>
    <row r="80" spans="18:18">
      <c r="R80" s="3"/>
    </row>
    <row r="81" spans="18:18">
      <c r="R81" s="3"/>
    </row>
    <row r="82" spans="18:18">
      <c r="R82" s="3"/>
    </row>
    <row r="83" spans="18:18">
      <c r="R83" s="3"/>
    </row>
    <row r="84" spans="18:18">
      <c r="R84" s="3"/>
    </row>
    <row r="85" spans="18:18">
      <c r="R85" s="3"/>
    </row>
    <row r="86" spans="18:18">
      <c r="R86" s="3"/>
    </row>
    <row r="87" spans="18:18">
      <c r="R87" s="3"/>
    </row>
    <row r="88" spans="18:18">
      <c r="R88" s="3"/>
    </row>
    <row r="89" spans="18:18">
      <c r="R89" s="3"/>
    </row>
    <row r="90" spans="18:18">
      <c r="R90" s="3"/>
    </row>
    <row r="91" spans="18:18">
      <c r="R91" s="3"/>
    </row>
    <row r="92" spans="18:18">
      <c r="R92" s="3"/>
    </row>
    <row r="93" spans="18:18">
      <c r="R93" s="3"/>
    </row>
    <row r="94" spans="18:18">
      <c r="R94" s="3"/>
    </row>
    <row r="95" spans="18:18">
      <c r="R95" s="3"/>
    </row>
    <row r="96" spans="18:18">
      <c r="R96" s="3"/>
    </row>
    <row r="97" spans="18:18">
      <c r="R97" s="3"/>
    </row>
    <row r="98" spans="18:18">
      <c r="R98" s="3"/>
    </row>
    <row r="99" spans="18:18">
      <c r="R99" s="3"/>
    </row>
    <row r="100" spans="18:18">
      <c r="R100" s="3"/>
    </row>
    <row r="101" spans="18:18">
      <c r="R101" s="3"/>
    </row>
    <row r="102" spans="18:18">
      <c r="R102" s="3"/>
    </row>
    <row r="103" spans="18:18">
      <c r="R103" s="3"/>
    </row>
    <row r="104" spans="18:18">
      <c r="R104" s="3"/>
    </row>
    <row r="105" spans="18:18">
      <c r="R105" s="3"/>
    </row>
    <row r="106" spans="18:18">
      <c r="R106" s="3"/>
    </row>
    <row r="107" spans="18:18">
      <c r="R107" s="3"/>
    </row>
    <row r="108" spans="18:18">
      <c r="R108" s="3"/>
    </row>
    <row r="109" spans="18:18">
      <c r="R109" s="3"/>
    </row>
    <row r="110" spans="18:18">
      <c r="R110" s="3"/>
    </row>
    <row r="111" spans="18:18">
      <c r="R111" s="3"/>
    </row>
    <row r="112" spans="18:18">
      <c r="R112" s="3"/>
    </row>
    <row r="113" spans="18:18">
      <c r="R113" s="3"/>
    </row>
    <row r="114" spans="18:18">
      <c r="R114" s="3"/>
    </row>
    <row r="115" spans="18:18">
      <c r="R115" s="3"/>
    </row>
    <row r="116" spans="18:18">
      <c r="R116" s="3"/>
    </row>
    <row r="117" spans="18:18">
      <c r="R117" s="3"/>
    </row>
    <row r="118" spans="18:18">
      <c r="R118" s="3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43"/>
  <sheetViews>
    <sheetView workbookViewId="0">
      <selection activeCell="E7" sqref="E7"/>
    </sheetView>
  </sheetViews>
  <sheetFormatPr baseColWidth="10" defaultRowHeight="15"/>
  <sheetData>
    <row r="1" spans="1:10">
      <c r="A1" s="8" t="s">
        <v>151</v>
      </c>
    </row>
    <row r="2" spans="1:10">
      <c r="C2" t="s">
        <v>152</v>
      </c>
      <c r="G2" t="s">
        <v>89</v>
      </c>
    </row>
    <row r="3" spans="1:10">
      <c r="C3" t="s">
        <v>20</v>
      </c>
      <c r="E3" t="s">
        <v>21</v>
      </c>
      <c r="H3" t="s">
        <v>45</v>
      </c>
    </row>
    <row r="4" spans="1:10">
      <c r="B4">
        <v>1</v>
      </c>
      <c r="C4">
        <v>95495</v>
      </c>
      <c r="D4">
        <f>C4/1000</f>
        <v>95.495000000000005</v>
      </c>
      <c r="E4">
        <f>D4*13.38</f>
        <v>1277.7231000000002</v>
      </c>
      <c r="H4" t="s">
        <v>34</v>
      </c>
      <c r="I4" t="s">
        <v>33</v>
      </c>
      <c r="J4" t="s">
        <v>1</v>
      </c>
    </row>
    <row r="5" spans="1:10">
      <c r="B5">
        <v>2</v>
      </c>
      <c r="C5">
        <v>102472</v>
      </c>
      <c r="D5">
        <f t="shared" ref="D5:D53" si="0">C5/1000</f>
        <v>102.47199999999999</v>
      </c>
      <c r="E5">
        <f t="shared" ref="E5:E53" si="1">D5*13.38</f>
        <v>1371.07536</v>
      </c>
      <c r="G5">
        <v>0</v>
      </c>
      <c r="H5">
        <f>COUNTIF($E$4:$E$53, "&lt;1000")</f>
        <v>1</v>
      </c>
      <c r="I5">
        <v>1</v>
      </c>
      <c r="J5">
        <f>I5/50*100</f>
        <v>2</v>
      </c>
    </row>
    <row r="6" spans="1:10">
      <c r="B6">
        <v>3</v>
      </c>
      <c r="C6">
        <v>76222</v>
      </c>
      <c r="D6">
        <f t="shared" si="0"/>
        <v>76.221999999999994</v>
      </c>
      <c r="E6">
        <f t="shared" si="1"/>
        <v>1019.85036</v>
      </c>
      <c r="G6">
        <f>G5+1000</f>
        <v>1000</v>
      </c>
      <c r="H6">
        <f>COUNTIF($E$4:$E$53, "&lt;2000")</f>
        <v>18</v>
      </c>
      <c r="I6">
        <f>H6-H5</f>
        <v>17</v>
      </c>
      <c r="J6">
        <f t="shared" ref="J6:J13" si="2">I6/50*100</f>
        <v>34</v>
      </c>
    </row>
    <row r="7" spans="1:10">
      <c r="B7">
        <v>4</v>
      </c>
      <c r="C7">
        <v>149547</v>
      </c>
      <c r="D7">
        <f t="shared" si="0"/>
        <v>149.547</v>
      </c>
      <c r="E7">
        <f t="shared" si="1"/>
        <v>2000.93886</v>
      </c>
      <c r="G7">
        <f t="shared" ref="G7:G12" si="3">G6+1000</f>
        <v>2000</v>
      </c>
      <c r="H7">
        <f>COUNTIF($E$4:$E$53, "&lt;3000")</f>
        <v>28</v>
      </c>
      <c r="I7">
        <f t="shared" ref="I7:I13" si="4">H7-H6</f>
        <v>10</v>
      </c>
      <c r="J7">
        <f t="shared" si="2"/>
        <v>20</v>
      </c>
    </row>
    <row r="8" spans="1:10">
      <c r="B8">
        <v>5</v>
      </c>
      <c r="C8">
        <v>163127</v>
      </c>
      <c r="D8">
        <f t="shared" si="0"/>
        <v>163.12700000000001</v>
      </c>
      <c r="E8">
        <f t="shared" si="1"/>
        <v>2182.6392600000004</v>
      </c>
      <c r="G8">
        <f t="shared" si="3"/>
        <v>3000</v>
      </c>
      <c r="H8">
        <f>COUNTIF($E$4:$E$53, "&lt;4000")</f>
        <v>34</v>
      </c>
      <c r="I8">
        <f t="shared" si="4"/>
        <v>6</v>
      </c>
      <c r="J8">
        <f t="shared" si="2"/>
        <v>12</v>
      </c>
    </row>
    <row r="9" spans="1:10">
      <c r="B9">
        <v>6</v>
      </c>
      <c r="C9">
        <v>120008</v>
      </c>
      <c r="D9">
        <f t="shared" si="0"/>
        <v>120.008</v>
      </c>
      <c r="E9">
        <f t="shared" si="1"/>
        <v>1605.70704</v>
      </c>
      <c r="G9">
        <f t="shared" si="3"/>
        <v>4000</v>
      </c>
      <c r="H9">
        <f>COUNTIF($E$4:$E$53, "&lt;5000")</f>
        <v>39</v>
      </c>
      <c r="I9">
        <f t="shared" si="4"/>
        <v>5</v>
      </c>
      <c r="J9">
        <f t="shared" si="2"/>
        <v>10</v>
      </c>
    </row>
    <row r="10" spans="1:10">
      <c r="B10">
        <v>7</v>
      </c>
      <c r="C10">
        <v>182426</v>
      </c>
      <c r="D10">
        <f t="shared" si="0"/>
        <v>182.42599999999999</v>
      </c>
      <c r="E10">
        <f t="shared" si="1"/>
        <v>2440.85988</v>
      </c>
      <c r="G10">
        <f t="shared" si="3"/>
        <v>5000</v>
      </c>
      <c r="H10">
        <f>COUNTIF($E$4:$E$53, "&lt;6000")</f>
        <v>45</v>
      </c>
      <c r="I10">
        <f t="shared" si="4"/>
        <v>6</v>
      </c>
      <c r="J10">
        <f t="shared" si="2"/>
        <v>12</v>
      </c>
    </row>
    <row r="11" spans="1:10">
      <c r="B11">
        <v>8</v>
      </c>
      <c r="C11">
        <v>148013</v>
      </c>
      <c r="D11">
        <f t="shared" si="0"/>
        <v>148.01300000000001</v>
      </c>
      <c r="E11">
        <f t="shared" si="1"/>
        <v>1980.4139400000001</v>
      </c>
      <c r="G11">
        <f t="shared" si="3"/>
        <v>6000</v>
      </c>
      <c r="H11">
        <f>COUNTIF($E$4:$E$53, "&lt;7000")</f>
        <v>48</v>
      </c>
      <c r="I11">
        <f t="shared" si="4"/>
        <v>3</v>
      </c>
      <c r="J11">
        <f t="shared" si="2"/>
        <v>6</v>
      </c>
    </row>
    <row r="12" spans="1:10">
      <c r="B12">
        <v>9</v>
      </c>
      <c r="C12">
        <v>190463</v>
      </c>
      <c r="D12">
        <f t="shared" si="0"/>
        <v>190.46299999999999</v>
      </c>
      <c r="E12">
        <f t="shared" si="1"/>
        <v>2548.3949400000001</v>
      </c>
      <c r="G12">
        <f t="shared" si="3"/>
        <v>7000</v>
      </c>
      <c r="H12">
        <f>COUNTIF($E$4:$E$53, "&lt;8000")</f>
        <v>50</v>
      </c>
      <c r="I12">
        <f t="shared" si="4"/>
        <v>2</v>
      </c>
      <c r="J12">
        <f t="shared" si="2"/>
        <v>4</v>
      </c>
    </row>
    <row r="13" spans="1:10">
      <c r="B13">
        <v>10</v>
      </c>
      <c r="C13">
        <v>274042</v>
      </c>
      <c r="D13">
        <f t="shared" si="0"/>
        <v>274.04199999999997</v>
      </c>
      <c r="E13">
        <f t="shared" si="1"/>
        <v>3666.6819599999999</v>
      </c>
      <c r="G13">
        <f>G12+1000</f>
        <v>8000</v>
      </c>
      <c r="H13">
        <f>COUNTIF($E$4:$E$53, "&lt;9000")</f>
        <v>50</v>
      </c>
      <c r="I13">
        <f t="shared" si="4"/>
        <v>0</v>
      </c>
      <c r="J13">
        <f t="shared" si="2"/>
        <v>0</v>
      </c>
    </row>
    <row r="14" spans="1:10">
      <c r="B14">
        <v>11</v>
      </c>
      <c r="C14">
        <v>366139</v>
      </c>
      <c r="D14">
        <f t="shared" si="0"/>
        <v>366.13900000000001</v>
      </c>
      <c r="E14">
        <f t="shared" si="1"/>
        <v>4898.9398200000005</v>
      </c>
    </row>
    <row r="15" spans="1:10">
      <c r="B15">
        <v>12</v>
      </c>
      <c r="C15">
        <v>455851</v>
      </c>
      <c r="D15">
        <f t="shared" si="0"/>
        <v>455.851</v>
      </c>
      <c r="E15">
        <f t="shared" si="1"/>
        <v>6099.2863800000005</v>
      </c>
    </row>
    <row r="16" spans="1:10">
      <c r="B16">
        <v>13</v>
      </c>
      <c r="C16">
        <v>368694</v>
      </c>
      <c r="D16">
        <f t="shared" si="0"/>
        <v>368.69400000000002</v>
      </c>
      <c r="E16">
        <f t="shared" si="1"/>
        <v>4933.1257200000009</v>
      </c>
    </row>
    <row r="17" spans="2:5">
      <c r="B17">
        <v>14</v>
      </c>
      <c r="C17">
        <v>93139</v>
      </c>
      <c r="D17">
        <f t="shared" si="0"/>
        <v>93.138999999999996</v>
      </c>
      <c r="E17">
        <f t="shared" si="1"/>
        <v>1246.19982</v>
      </c>
    </row>
    <row r="18" spans="2:5">
      <c r="B18">
        <v>15</v>
      </c>
      <c r="C18">
        <v>96222</v>
      </c>
      <c r="D18">
        <f t="shared" si="0"/>
        <v>96.221999999999994</v>
      </c>
      <c r="E18">
        <f t="shared" si="1"/>
        <v>1287.45036</v>
      </c>
    </row>
    <row r="19" spans="2:5">
      <c r="B19">
        <v>16</v>
      </c>
      <c r="C19">
        <v>193601</v>
      </c>
      <c r="D19">
        <f t="shared" si="0"/>
        <v>193.601</v>
      </c>
      <c r="E19">
        <f t="shared" si="1"/>
        <v>2590.3813800000003</v>
      </c>
    </row>
    <row r="20" spans="2:5">
      <c r="B20">
        <v>17</v>
      </c>
      <c r="C20">
        <v>279459</v>
      </c>
      <c r="D20">
        <f t="shared" si="0"/>
        <v>279.459</v>
      </c>
      <c r="E20">
        <f t="shared" si="1"/>
        <v>3739.1614200000004</v>
      </c>
    </row>
    <row r="21" spans="2:5">
      <c r="B21">
        <v>18</v>
      </c>
      <c r="C21">
        <v>384015</v>
      </c>
      <c r="D21">
        <f t="shared" si="0"/>
        <v>384.01499999999999</v>
      </c>
      <c r="E21">
        <f t="shared" si="1"/>
        <v>5138.1207000000004</v>
      </c>
    </row>
    <row r="22" spans="2:5">
      <c r="B22">
        <v>19</v>
      </c>
      <c r="C22">
        <v>154176</v>
      </c>
      <c r="D22">
        <f t="shared" si="0"/>
        <v>154.17599999999999</v>
      </c>
      <c r="E22">
        <f t="shared" si="1"/>
        <v>2062.8748799999998</v>
      </c>
    </row>
    <row r="23" spans="2:5">
      <c r="B23">
        <v>20</v>
      </c>
      <c r="C23">
        <v>269105</v>
      </c>
      <c r="D23">
        <f t="shared" si="0"/>
        <v>269.10500000000002</v>
      </c>
      <c r="E23">
        <f t="shared" si="1"/>
        <v>3600.6249000000003</v>
      </c>
    </row>
    <row r="24" spans="2:5">
      <c r="B24">
        <v>21</v>
      </c>
      <c r="C24">
        <v>386497</v>
      </c>
      <c r="D24">
        <f t="shared" si="0"/>
        <v>386.49700000000001</v>
      </c>
      <c r="E24">
        <f t="shared" si="1"/>
        <v>5171.3298600000007</v>
      </c>
    </row>
    <row r="25" spans="2:5">
      <c r="B25">
        <v>22</v>
      </c>
      <c r="C25">
        <v>364330</v>
      </c>
      <c r="D25">
        <f t="shared" si="0"/>
        <v>364.33</v>
      </c>
      <c r="E25">
        <f t="shared" si="1"/>
        <v>4874.7354000000005</v>
      </c>
    </row>
    <row r="26" spans="2:5">
      <c r="B26">
        <v>23</v>
      </c>
      <c r="C26">
        <v>515171</v>
      </c>
      <c r="D26">
        <f t="shared" si="0"/>
        <v>515.17100000000005</v>
      </c>
      <c r="E26">
        <f t="shared" si="1"/>
        <v>6892.9879800000008</v>
      </c>
    </row>
    <row r="27" spans="2:5">
      <c r="B27">
        <v>24</v>
      </c>
      <c r="C27">
        <v>168066</v>
      </c>
      <c r="D27">
        <f t="shared" si="0"/>
        <v>168.066</v>
      </c>
      <c r="E27">
        <f t="shared" si="1"/>
        <v>2248.7230800000002</v>
      </c>
    </row>
    <row r="28" spans="2:5">
      <c r="B28">
        <v>25</v>
      </c>
      <c r="C28">
        <v>136359</v>
      </c>
      <c r="D28">
        <f t="shared" si="0"/>
        <v>136.35900000000001</v>
      </c>
      <c r="E28">
        <f t="shared" si="1"/>
        <v>1824.4834200000003</v>
      </c>
    </row>
    <row r="29" spans="2:5">
      <c r="B29">
        <v>26</v>
      </c>
      <c r="C29">
        <v>95632</v>
      </c>
      <c r="D29">
        <f t="shared" si="0"/>
        <v>95.632000000000005</v>
      </c>
      <c r="E29">
        <f t="shared" si="1"/>
        <v>1279.5561600000001</v>
      </c>
    </row>
    <row r="30" spans="2:5">
      <c r="B30">
        <v>27</v>
      </c>
      <c r="C30">
        <v>83416</v>
      </c>
      <c r="D30">
        <f t="shared" si="0"/>
        <v>83.415999999999997</v>
      </c>
      <c r="E30">
        <f t="shared" si="1"/>
        <v>1116.10608</v>
      </c>
    </row>
    <row r="31" spans="2:5">
      <c r="B31">
        <v>28</v>
      </c>
      <c r="C31">
        <v>74083</v>
      </c>
      <c r="D31">
        <f t="shared" si="0"/>
        <v>74.082999999999998</v>
      </c>
      <c r="E31">
        <f t="shared" si="1"/>
        <v>991.23054000000002</v>
      </c>
    </row>
    <row r="32" spans="2:5">
      <c r="B32">
        <v>29</v>
      </c>
      <c r="C32">
        <v>188822</v>
      </c>
      <c r="D32">
        <f t="shared" si="0"/>
        <v>188.822</v>
      </c>
      <c r="E32">
        <f t="shared" si="1"/>
        <v>2526.4383600000001</v>
      </c>
    </row>
    <row r="33" spans="2:5">
      <c r="B33">
        <v>30</v>
      </c>
      <c r="C33">
        <v>79649</v>
      </c>
      <c r="D33">
        <f t="shared" si="0"/>
        <v>79.649000000000001</v>
      </c>
      <c r="E33">
        <f t="shared" si="1"/>
        <v>1065.70362</v>
      </c>
    </row>
    <row r="34" spans="2:5">
      <c r="B34">
        <v>31</v>
      </c>
      <c r="C34">
        <v>93141</v>
      </c>
      <c r="D34">
        <f t="shared" si="0"/>
        <v>93.141000000000005</v>
      </c>
      <c r="E34">
        <f t="shared" si="1"/>
        <v>1246.2265800000002</v>
      </c>
    </row>
    <row r="35" spans="2:5">
      <c r="B35">
        <v>32</v>
      </c>
      <c r="C35">
        <v>244482</v>
      </c>
      <c r="D35">
        <f t="shared" si="0"/>
        <v>244.482</v>
      </c>
      <c r="E35">
        <f t="shared" si="1"/>
        <v>3271.1691600000004</v>
      </c>
    </row>
    <row r="36" spans="2:5">
      <c r="B36">
        <v>33</v>
      </c>
      <c r="C36">
        <v>191110</v>
      </c>
      <c r="D36">
        <f t="shared" si="0"/>
        <v>191.11</v>
      </c>
      <c r="E36">
        <f t="shared" si="1"/>
        <v>2557.0518000000002</v>
      </c>
    </row>
    <row r="37" spans="2:5">
      <c r="B37">
        <v>34</v>
      </c>
      <c r="C37">
        <v>382952</v>
      </c>
      <c r="D37">
        <f t="shared" si="0"/>
        <v>382.952</v>
      </c>
      <c r="E37">
        <f t="shared" si="1"/>
        <v>5123.8977599999998</v>
      </c>
    </row>
    <row r="38" spans="2:5">
      <c r="B38">
        <v>35</v>
      </c>
      <c r="C38">
        <v>262202</v>
      </c>
      <c r="D38">
        <f t="shared" si="0"/>
        <v>262.202</v>
      </c>
      <c r="E38">
        <f t="shared" si="1"/>
        <v>3508.2627600000001</v>
      </c>
    </row>
    <row r="39" spans="2:5">
      <c r="B39">
        <v>36</v>
      </c>
      <c r="C39">
        <v>126878</v>
      </c>
      <c r="D39">
        <f t="shared" si="0"/>
        <v>126.878</v>
      </c>
      <c r="E39">
        <f t="shared" si="1"/>
        <v>1697.6276400000002</v>
      </c>
    </row>
    <row r="40" spans="2:5">
      <c r="B40">
        <v>37</v>
      </c>
      <c r="C40">
        <v>90610</v>
      </c>
      <c r="D40">
        <f t="shared" si="0"/>
        <v>90.61</v>
      </c>
      <c r="E40">
        <f t="shared" si="1"/>
        <v>1212.3618000000001</v>
      </c>
    </row>
    <row r="41" spans="2:5">
      <c r="B41">
        <v>38</v>
      </c>
      <c r="C41">
        <v>407162</v>
      </c>
      <c r="D41">
        <f t="shared" si="0"/>
        <v>407.16199999999998</v>
      </c>
      <c r="E41">
        <f t="shared" si="1"/>
        <v>5447.8275599999997</v>
      </c>
    </row>
    <row r="42" spans="2:5">
      <c r="B42">
        <v>39</v>
      </c>
      <c r="C42">
        <v>334015</v>
      </c>
      <c r="D42">
        <f t="shared" si="0"/>
        <v>334.01499999999999</v>
      </c>
      <c r="E42">
        <f t="shared" si="1"/>
        <v>4469.1207000000004</v>
      </c>
    </row>
    <row r="43" spans="2:5">
      <c r="B43">
        <v>40</v>
      </c>
      <c r="C43">
        <v>90248</v>
      </c>
      <c r="D43">
        <f t="shared" si="0"/>
        <v>90.248000000000005</v>
      </c>
      <c r="E43">
        <f t="shared" si="1"/>
        <v>1207.5182400000001</v>
      </c>
    </row>
    <row r="44" spans="2:5">
      <c r="B44">
        <v>41</v>
      </c>
      <c r="C44">
        <v>193928</v>
      </c>
      <c r="D44">
        <f t="shared" si="0"/>
        <v>193.928</v>
      </c>
      <c r="E44">
        <f t="shared" si="1"/>
        <v>2594.7566400000001</v>
      </c>
    </row>
    <row r="45" spans="2:5">
      <c r="B45">
        <v>42</v>
      </c>
      <c r="C45">
        <v>88079</v>
      </c>
      <c r="D45">
        <f t="shared" si="0"/>
        <v>88.078999999999994</v>
      </c>
      <c r="E45">
        <f t="shared" si="1"/>
        <v>1178.49702</v>
      </c>
    </row>
    <row r="46" spans="2:5">
      <c r="B46">
        <v>43</v>
      </c>
      <c r="C46">
        <v>430067</v>
      </c>
      <c r="D46">
        <f t="shared" si="0"/>
        <v>430.06700000000001</v>
      </c>
      <c r="E46">
        <f t="shared" si="1"/>
        <v>5754.2964600000005</v>
      </c>
    </row>
    <row r="47" spans="2:5">
      <c r="B47">
        <v>44</v>
      </c>
      <c r="C47">
        <v>375395</v>
      </c>
      <c r="D47">
        <f t="shared" si="0"/>
        <v>375.39499999999998</v>
      </c>
      <c r="E47">
        <f t="shared" si="1"/>
        <v>5022.7851000000001</v>
      </c>
    </row>
    <row r="48" spans="2:5">
      <c r="B48">
        <v>45</v>
      </c>
      <c r="C48">
        <v>480150</v>
      </c>
      <c r="D48">
        <f t="shared" si="0"/>
        <v>480.15</v>
      </c>
      <c r="E48">
        <f t="shared" si="1"/>
        <v>6424.4070000000002</v>
      </c>
    </row>
    <row r="49" spans="2:7">
      <c r="B49">
        <v>46</v>
      </c>
      <c r="C49">
        <v>557313</v>
      </c>
      <c r="D49">
        <f t="shared" si="0"/>
        <v>557.31299999999999</v>
      </c>
      <c r="E49">
        <f t="shared" si="1"/>
        <v>7456.8479400000006</v>
      </c>
    </row>
    <row r="50" spans="2:7">
      <c r="B50">
        <v>47</v>
      </c>
      <c r="C50">
        <v>571780</v>
      </c>
      <c r="D50">
        <f t="shared" si="0"/>
        <v>571.78</v>
      </c>
      <c r="E50">
        <f t="shared" si="1"/>
        <v>7650.4164000000001</v>
      </c>
    </row>
    <row r="51" spans="2:7">
      <c r="B51">
        <v>48</v>
      </c>
      <c r="C51">
        <v>133852</v>
      </c>
      <c r="D51">
        <f t="shared" si="0"/>
        <v>133.852</v>
      </c>
      <c r="E51">
        <f t="shared" si="1"/>
        <v>1790.9397600000002</v>
      </c>
    </row>
    <row r="52" spans="2:7">
      <c r="B52">
        <v>49</v>
      </c>
      <c r="C52">
        <v>280083</v>
      </c>
      <c r="D52">
        <f t="shared" si="0"/>
        <v>280.08300000000003</v>
      </c>
      <c r="E52">
        <f t="shared" si="1"/>
        <v>3747.5105400000007</v>
      </c>
    </row>
    <row r="53" spans="2:7">
      <c r="B53">
        <v>50</v>
      </c>
      <c r="C53">
        <v>348443</v>
      </c>
      <c r="D53">
        <f t="shared" si="0"/>
        <v>348.44299999999998</v>
      </c>
      <c r="E53">
        <f t="shared" si="1"/>
        <v>4662.16734</v>
      </c>
      <c r="G53" s="9"/>
    </row>
    <row r="54" spans="2:7">
      <c r="B54" t="s">
        <v>46</v>
      </c>
      <c r="C54">
        <f t="shared" ref="C54:D54" si="5">AVERAGE(C4:C53)</f>
        <v>238722.62</v>
      </c>
      <c r="D54">
        <f t="shared" si="5"/>
        <v>238.72261999999998</v>
      </c>
      <c r="E54">
        <f>AVERAGE(E4:E53)</f>
        <v>3194.1086556000005</v>
      </c>
      <c r="G54" s="9"/>
    </row>
    <row r="55" spans="2:7">
      <c r="B55" t="s">
        <v>47</v>
      </c>
      <c r="C55">
        <f t="shared" ref="C55:D55" si="6">MIN(C4:C53)</f>
        <v>74083</v>
      </c>
      <c r="D55">
        <f t="shared" si="6"/>
        <v>74.082999999999998</v>
      </c>
      <c r="E55">
        <f>MIN(E4:E53)</f>
        <v>991.23054000000002</v>
      </c>
      <c r="G55" s="9"/>
    </row>
    <row r="56" spans="2:7">
      <c r="B56" t="s">
        <v>48</v>
      </c>
      <c r="C56">
        <f t="shared" ref="C56:D56" si="7">MAX(C4:C53)</f>
        <v>571780</v>
      </c>
      <c r="D56">
        <f t="shared" si="7"/>
        <v>571.78</v>
      </c>
      <c r="E56">
        <f>MAX(E4:E53)</f>
        <v>7650.4164000000001</v>
      </c>
      <c r="G56" s="9"/>
    </row>
    <row r="57" spans="2:7">
      <c r="B57" t="s">
        <v>113</v>
      </c>
      <c r="C57">
        <f>_xlfn.STDEV.S(C4:C53)</f>
        <v>143293.4777858179</v>
      </c>
      <c r="D57">
        <f t="shared" ref="D57:E57" si="8">_xlfn.STDEV.S(D4:D53)</f>
        <v>143.293477785818</v>
      </c>
      <c r="E57">
        <f t="shared" si="8"/>
        <v>1917.2667327742431</v>
      </c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122"/>
  <sheetViews>
    <sheetView topLeftCell="C1" zoomScale="85" zoomScaleNormal="85" zoomScalePageLayoutView="85" workbookViewId="0">
      <selection activeCell="O29" sqref="O29"/>
    </sheetView>
  </sheetViews>
  <sheetFormatPr baseColWidth="10" defaultRowHeight="15"/>
  <sheetData>
    <row r="1" spans="1:23">
      <c r="B1" s="47" t="s">
        <v>157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>
      <c r="A2" s="80" t="s">
        <v>153</v>
      </c>
      <c r="B2" s="81"/>
      <c r="C2" s="81"/>
      <c r="D2" s="14"/>
      <c r="E2" s="14"/>
      <c r="F2" s="80" t="s">
        <v>153</v>
      </c>
      <c r="G2" s="80"/>
      <c r="H2" s="80"/>
      <c r="I2" s="14"/>
      <c r="J2" s="14"/>
      <c r="K2" s="80" t="s">
        <v>153</v>
      </c>
      <c r="L2" s="80"/>
      <c r="M2" s="80"/>
      <c r="N2" s="14"/>
      <c r="O2" s="14"/>
      <c r="V2" s="14"/>
      <c r="W2" s="14"/>
    </row>
    <row r="3" spans="1:23">
      <c r="A3" s="14">
        <v>1</v>
      </c>
      <c r="B3" s="14">
        <v>2</v>
      </c>
      <c r="C3" s="14">
        <v>3</v>
      </c>
      <c r="D3" s="14"/>
      <c r="E3" s="14"/>
      <c r="F3" s="48">
        <v>1</v>
      </c>
      <c r="G3" s="48">
        <v>2</v>
      </c>
      <c r="H3" s="48">
        <v>3</v>
      </c>
      <c r="I3" s="14"/>
      <c r="J3" s="14"/>
      <c r="K3" s="48">
        <v>1</v>
      </c>
      <c r="L3" s="48">
        <v>2</v>
      </c>
      <c r="M3" s="48">
        <v>3</v>
      </c>
      <c r="N3" s="14"/>
      <c r="O3" s="14"/>
      <c r="V3" s="14"/>
      <c r="W3" s="14"/>
    </row>
    <row r="4" spans="1:23">
      <c r="A4" s="80" t="s">
        <v>154</v>
      </c>
      <c r="B4" s="80"/>
      <c r="C4" s="80"/>
      <c r="D4" s="14" t="s">
        <v>26</v>
      </c>
      <c r="E4" s="14" t="s">
        <v>31</v>
      </c>
      <c r="F4" s="80" t="s">
        <v>155</v>
      </c>
      <c r="G4" s="80"/>
      <c r="H4" s="80"/>
      <c r="I4" s="14" t="s">
        <v>26</v>
      </c>
      <c r="J4" s="14" t="s">
        <v>31</v>
      </c>
      <c r="K4" s="80" t="s">
        <v>156</v>
      </c>
      <c r="L4" s="80"/>
      <c r="M4" s="80"/>
      <c r="N4" s="14" t="s">
        <v>26</v>
      </c>
      <c r="O4" s="14" t="s">
        <v>31</v>
      </c>
      <c r="P4" t="s">
        <v>27</v>
      </c>
      <c r="V4" s="14"/>
      <c r="W4" s="14"/>
    </row>
    <row r="5" spans="1:23">
      <c r="A5" s="14">
        <v>4.2640000000000002</v>
      </c>
      <c r="B5" s="14">
        <v>2.7890000000000001</v>
      </c>
      <c r="C5" s="14">
        <v>4.351</v>
      </c>
      <c r="D5" s="14">
        <f>AVERAGE(A5:C5)</f>
        <v>3.8013333333333335</v>
      </c>
      <c r="E5" s="14">
        <f>_xlfn.STDEV.P(A5:C5)</f>
        <v>0.71670837087959971</v>
      </c>
      <c r="F5" s="14">
        <v>2.72</v>
      </c>
      <c r="G5" s="14">
        <v>1.9419999999999999</v>
      </c>
      <c r="H5" s="14">
        <v>2.3839999999999999</v>
      </c>
      <c r="I5" s="14">
        <f t="shared" ref="I5:I11" si="0">AVERAGE(F5:H5)</f>
        <v>2.3486666666666665</v>
      </c>
      <c r="J5" s="14">
        <f>_xlfn.STDEV.P(F5:H5)</f>
        <v>0.31859831903023261</v>
      </c>
      <c r="K5" s="14">
        <v>2.8</v>
      </c>
      <c r="L5" s="14">
        <v>1.7</v>
      </c>
      <c r="M5" s="14">
        <v>1.4</v>
      </c>
      <c r="N5" s="14">
        <f>AVERAGE(K5:M5)</f>
        <v>1.9666666666666668</v>
      </c>
      <c r="O5" s="14">
        <f>_xlfn.STDEV.P(K5:M5)</f>
        <v>0.60184900284225884</v>
      </c>
      <c r="P5">
        <v>0</v>
      </c>
      <c r="V5" s="14"/>
      <c r="W5" s="14"/>
    </row>
    <row r="6" spans="1:23">
      <c r="A6" s="14">
        <v>4.1920000000000002</v>
      </c>
      <c r="B6" s="14">
        <v>2.964</v>
      </c>
      <c r="C6" s="14">
        <v>3.7509999999999999</v>
      </c>
      <c r="D6" s="14">
        <f>AVERAGE(A6:C6)</f>
        <v>3.6356666666666668</v>
      </c>
      <c r="E6" s="14">
        <f t="shared" ref="E6:E13" si="1">_xlfn.STDEV.P(A6:C6)</f>
        <v>0.50791884741123416</v>
      </c>
      <c r="F6" s="14">
        <v>2.95</v>
      </c>
      <c r="G6" s="14">
        <v>0.73</v>
      </c>
      <c r="H6" s="14">
        <v>2.8479999999999999</v>
      </c>
      <c r="I6" s="14">
        <f t="shared" si="0"/>
        <v>2.1760000000000002</v>
      </c>
      <c r="J6" s="14">
        <f t="shared" ref="J6:J13" si="2">_xlfn.STDEV.P(F6:H6)</f>
        <v>1.0233239956142919</v>
      </c>
      <c r="K6" s="14">
        <v>0.99299999999999999</v>
      </c>
      <c r="L6" s="14">
        <v>2.6989999999999998</v>
      </c>
      <c r="M6" s="14">
        <v>1.093</v>
      </c>
      <c r="N6" s="14">
        <f t="shared" ref="N6:N13" si="3">AVERAGE(K6:M6)</f>
        <v>1.595</v>
      </c>
      <c r="O6" s="14">
        <f t="shared" ref="O6:O13" si="4">_xlfn.STDEV.P(K6:M6)</f>
        <v>0.78171264967804266</v>
      </c>
      <c r="P6">
        <v>1</v>
      </c>
      <c r="V6" s="14"/>
      <c r="W6" s="14"/>
    </row>
    <row r="7" spans="1:23">
      <c r="A7" s="14">
        <v>3.1589999999999998</v>
      </c>
      <c r="B7" s="14">
        <v>2.8980000000000001</v>
      </c>
      <c r="C7" s="14">
        <v>2.649</v>
      </c>
      <c r="D7" s="14">
        <f>AVERAGE(A7:C7)</f>
        <v>2.9019999999999997</v>
      </c>
      <c r="E7" s="14">
        <f t="shared" si="1"/>
        <v>0.20822583893455676</v>
      </c>
      <c r="F7" s="14">
        <v>1.0429999999999999</v>
      </c>
      <c r="G7" s="14">
        <v>3.4169999999999998</v>
      </c>
      <c r="H7" s="14">
        <v>3.3570000000000002</v>
      </c>
      <c r="I7" s="14">
        <f t="shared" si="0"/>
        <v>2.6056666666666666</v>
      </c>
      <c r="J7" s="14">
        <f t="shared" si="2"/>
        <v>1.1052436634315324</v>
      </c>
      <c r="K7" s="14">
        <v>1.8340000000000001</v>
      </c>
      <c r="L7" s="14">
        <v>0.98199999999999998</v>
      </c>
      <c r="M7" s="14">
        <v>0.90400000000000003</v>
      </c>
      <c r="N7" s="14">
        <f t="shared" si="3"/>
        <v>1.24</v>
      </c>
      <c r="O7" s="14">
        <f t="shared" si="4"/>
        <v>0.42122677977545581</v>
      </c>
      <c r="P7">
        <v>2</v>
      </c>
      <c r="V7" s="14"/>
      <c r="W7" s="14"/>
    </row>
    <row r="8" spans="1:23">
      <c r="A8" s="14">
        <v>2.6219999999999999</v>
      </c>
      <c r="B8" s="14">
        <v>4.8949999999999996</v>
      </c>
      <c r="C8" s="14">
        <v>3.06</v>
      </c>
      <c r="D8" s="14">
        <f>AVERAGE(A8:C8)</f>
        <v>3.5256666666666665</v>
      </c>
      <c r="E8" s="14">
        <f t="shared" si="1"/>
        <v>0.98463744032455225</v>
      </c>
      <c r="F8" s="14">
        <v>0.78200000000000003</v>
      </c>
      <c r="G8" s="14">
        <v>1.5920000000000001</v>
      </c>
      <c r="H8" s="14">
        <v>1.016</v>
      </c>
      <c r="I8" s="14">
        <f t="shared" si="0"/>
        <v>1.1300000000000001</v>
      </c>
      <c r="J8" s="14">
        <f t="shared" si="2"/>
        <v>0.34036451048838817</v>
      </c>
      <c r="K8" s="14">
        <v>1.9590000000000001</v>
      </c>
      <c r="L8" s="14">
        <v>0.49099999999999999</v>
      </c>
      <c r="M8" s="14">
        <v>0.872</v>
      </c>
      <c r="N8" s="14">
        <f t="shared" si="3"/>
        <v>1.1073333333333333</v>
      </c>
      <c r="O8" s="14">
        <f t="shared" si="4"/>
        <v>0.62198195758040742</v>
      </c>
      <c r="P8">
        <v>4</v>
      </c>
      <c r="V8" s="14"/>
      <c r="W8" s="14"/>
    </row>
    <row r="9" spans="1:23">
      <c r="A9" s="14">
        <v>0.91600000000000004</v>
      </c>
      <c r="B9" s="14">
        <v>1.673</v>
      </c>
      <c r="C9" s="14">
        <v>2.1869999999999998</v>
      </c>
      <c r="D9" s="14">
        <f>AVERAGE(A9:C9)</f>
        <v>1.5919999999999999</v>
      </c>
      <c r="E9" s="14">
        <f t="shared" si="1"/>
        <v>0.52203512014678344</v>
      </c>
      <c r="F9" s="14">
        <v>0.70499999999999996</v>
      </c>
      <c r="G9" s="14">
        <v>2.597</v>
      </c>
      <c r="H9" s="14">
        <v>0.79900000000000004</v>
      </c>
      <c r="I9" s="14">
        <f t="shared" si="0"/>
        <v>1.367</v>
      </c>
      <c r="J9" s="14">
        <f t="shared" si="2"/>
        <v>0.87058754107020553</v>
      </c>
      <c r="K9" s="14">
        <v>1.6879999999999999</v>
      </c>
      <c r="L9" s="14">
        <v>0.91500000000000004</v>
      </c>
      <c r="M9" s="14">
        <v>0.90600000000000003</v>
      </c>
      <c r="N9" s="14">
        <f t="shared" si="3"/>
        <v>1.1696666666666666</v>
      </c>
      <c r="O9" s="14">
        <f t="shared" si="4"/>
        <v>0.36653543105983966</v>
      </c>
      <c r="P9">
        <v>8</v>
      </c>
      <c r="V9" s="14"/>
      <c r="W9" s="14"/>
    </row>
    <row r="10" spans="1:23">
      <c r="A10" s="14">
        <v>1.284</v>
      </c>
      <c r="B10" s="14">
        <v>2.41</v>
      </c>
      <c r="C10" s="14">
        <v>0.748</v>
      </c>
      <c r="D10" s="14">
        <f>AVERAGE(A11:C11)</f>
        <v>1.679</v>
      </c>
      <c r="E10" s="14">
        <f t="shared" si="1"/>
        <v>0.69261308743690997</v>
      </c>
      <c r="F10" s="14">
        <v>2.5310000000000001</v>
      </c>
      <c r="G10" s="14">
        <v>1.5309999999999999</v>
      </c>
      <c r="H10" s="14">
        <v>0.81899999999999995</v>
      </c>
      <c r="I10" s="14">
        <f t="shared" si="0"/>
        <v>1.627</v>
      </c>
      <c r="J10" s="14">
        <f t="shared" si="2"/>
        <v>0.70220984517925011</v>
      </c>
      <c r="K10" s="14">
        <v>1.512</v>
      </c>
      <c r="L10" s="14">
        <v>0.95099999999999996</v>
      </c>
      <c r="M10" s="14">
        <v>1.2509999999999999</v>
      </c>
      <c r="N10" s="14">
        <f t="shared" si="3"/>
        <v>1.238</v>
      </c>
      <c r="O10" s="14">
        <f t="shared" si="4"/>
        <v>0.22921169254643184</v>
      </c>
      <c r="P10">
        <v>12</v>
      </c>
      <c r="V10" s="14"/>
      <c r="W10" s="14"/>
    </row>
    <row r="11" spans="1:23">
      <c r="A11" s="14">
        <v>0.96499999999999997</v>
      </c>
      <c r="B11" s="14">
        <v>1.909</v>
      </c>
      <c r="C11" s="14">
        <v>2.1629999999999998</v>
      </c>
      <c r="D11" s="14">
        <f>AVERAGE(A11:C11)</f>
        <v>1.679</v>
      </c>
      <c r="E11" s="14">
        <f t="shared" si="1"/>
        <v>0.51541310292489362</v>
      </c>
      <c r="F11" s="14">
        <v>0.77900000000000003</v>
      </c>
      <c r="G11" s="14">
        <v>1.613</v>
      </c>
      <c r="H11" s="14">
        <v>1.27</v>
      </c>
      <c r="I11" s="14">
        <f t="shared" si="0"/>
        <v>1.2206666666666666</v>
      </c>
      <c r="J11" s="14">
        <f t="shared" si="2"/>
        <v>0.34226143354004845</v>
      </c>
      <c r="K11" s="14">
        <v>0.38500000000000001</v>
      </c>
      <c r="L11" s="14">
        <v>1.4530000000000001</v>
      </c>
      <c r="M11" s="14">
        <v>1.08</v>
      </c>
      <c r="N11" s="14">
        <f t="shared" si="3"/>
        <v>0.97266666666666668</v>
      </c>
      <c r="O11" s="14">
        <f t="shared" si="4"/>
        <v>0.44256550048803184</v>
      </c>
      <c r="P11">
        <v>24</v>
      </c>
      <c r="V11" s="14"/>
      <c r="W11" s="14"/>
    </row>
    <row r="12" spans="1:23">
      <c r="A12" s="14">
        <v>0.58099999999999996</v>
      </c>
      <c r="B12" s="14">
        <v>1.7290000000000001</v>
      </c>
      <c r="C12" s="14">
        <v>1.1120000000000001</v>
      </c>
      <c r="D12" s="14">
        <f>AVERAGE(A12:C12)</f>
        <v>1.1406666666666667</v>
      </c>
      <c r="E12" s="14">
        <f t="shared" si="1"/>
        <v>0.46910718983570882</v>
      </c>
      <c r="F12" s="14">
        <v>0.94099999999999995</v>
      </c>
      <c r="G12" s="14">
        <v>1.1950000000000001</v>
      </c>
      <c r="H12" s="14">
        <v>1.7210000000000001</v>
      </c>
      <c r="I12" s="14">
        <f t="shared" ref="I12:I13" si="5">AVERAGE(F12:H12)</f>
        <v>1.2856666666666667</v>
      </c>
      <c r="J12" s="14">
        <f t="shared" si="2"/>
        <v>0.3248233708066926</v>
      </c>
      <c r="K12" s="14">
        <v>0.318</v>
      </c>
      <c r="L12" s="14">
        <v>0.99299999999999999</v>
      </c>
      <c r="M12" s="14">
        <v>1.5209999999999999</v>
      </c>
      <c r="N12" s="14">
        <f t="shared" si="3"/>
        <v>0.94399999999999995</v>
      </c>
      <c r="O12" s="14">
        <f t="shared" si="4"/>
        <v>0.49234337611061657</v>
      </c>
      <c r="P12">
        <v>48</v>
      </c>
      <c r="V12" s="14"/>
      <c r="W12" s="14"/>
    </row>
    <row r="13" spans="1:23">
      <c r="A13" s="14">
        <v>1.143</v>
      </c>
      <c r="B13" s="14">
        <v>0.68899999999999995</v>
      </c>
      <c r="C13" s="14">
        <v>0.97199999999999998</v>
      </c>
      <c r="D13" s="14">
        <f>AVERAGE(A13:C13)</f>
        <v>0.93466666666666665</v>
      </c>
      <c r="E13" s="14">
        <f t="shared" si="1"/>
        <v>0.18721526528452645</v>
      </c>
      <c r="F13" s="14">
        <v>0.85099999999999998</v>
      </c>
      <c r="G13" s="14">
        <v>0.95099999999999996</v>
      </c>
      <c r="H13" s="14">
        <v>0.76300000000000001</v>
      </c>
      <c r="I13" s="14">
        <f t="shared" si="5"/>
        <v>0.85499999999999998</v>
      </c>
      <c r="J13" s="14">
        <f t="shared" si="2"/>
        <v>7.6802777727544874E-2</v>
      </c>
      <c r="K13" s="14">
        <v>0.85199999999999998</v>
      </c>
      <c r="L13" s="14">
        <v>0.53800000000000003</v>
      </c>
      <c r="M13" s="14">
        <v>0.27400000000000002</v>
      </c>
      <c r="N13" s="14">
        <f t="shared" si="3"/>
        <v>0.55466666666666675</v>
      </c>
      <c r="O13" s="14">
        <f t="shared" si="4"/>
        <v>0.23626162522837993</v>
      </c>
      <c r="P13">
        <v>72</v>
      </c>
      <c r="V13" s="14"/>
      <c r="W13" s="14"/>
    </row>
    <row r="14" spans="1:2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V14" s="14"/>
      <c r="W14" s="14"/>
    </row>
    <row r="15" spans="1:23" ht="30" customHeight="1">
      <c r="A15" s="14"/>
      <c r="B15" s="14"/>
      <c r="D15" s="14">
        <f>D13/D5*100</f>
        <v>24.587863907400912</v>
      </c>
      <c r="E15" s="14"/>
      <c r="F15" s="14"/>
      <c r="G15" s="14"/>
      <c r="I15" s="14">
        <f>I13/I5*100</f>
        <v>36.403633267101903</v>
      </c>
      <c r="J15" s="14"/>
      <c r="K15" s="14"/>
      <c r="L15" s="14"/>
      <c r="N15" s="14">
        <f>N13/N5*100</f>
        <v>28.203389830508481</v>
      </c>
      <c r="O15" s="14"/>
      <c r="V15" s="14"/>
      <c r="W15" s="14"/>
    </row>
    <row r="16" spans="1:23" ht="30">
      <c r="A16" s="14"/>
      <c r="B16" s="14"/>
      <c r="C16" s="13" t="s">
        <v>159</v>
      </c>
      <c r="D16" s="14">
        <f>100-D15</f>
        <v>75.412136092599084</v>
      </c>
      <c r="E16" s="14"/>
      <c r="F16" s="14"/>
      <c r="G16" s="14"/>
      <c r="H16" s="13" t="s">
        <v>159</v>
      </c>
      <c r="I16" s="14">
        <f>100-I15</f>
        <v>63.596366732898097</v>
      </c>
      <c r="J16" s="14"/>
      <c r="K16" s="14"/>
      <c r="L16" s="14"/>
      <c r="M16" s="13" t="s">
        <v>159</v>
      </c>
      <c r="N16" s="14">
        <f>100-N15</f>
        <v>71.796610169491515</v>
      </c>
      <c r="O16" s="14"/>
      <c r="V16" s="14"/>
      <c r="W16" s="14"/>
    </row>
    <row r="17" spans="1:2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V17" s="14"/>
      <c r="W17" s="14"/>
    </row>
    <row r="18" spans="1:2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6" spans="1:23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23">
      <c r="A27" s="1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23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23">
      <c r="A29" s="12"/>
      <c r="B29" s="7"/>
      <c r="C29" s="7"/>
      <c r="D29" s="7"/>
      <c r="E29" s="7"/>
      <c r="F29" s="7"/>
      <c r="G29" s="7"/>
      <c r="H29" s="7"/>
      <c r="I29" s="7"/>
      <c r="J29" s="12"/>
      <c r="K29" s="7"/>
      <c r="L29" s="7"/>
    </row>
    <row r="30" spans="1:23">
      <c r="A30" s="12"/>
      <c r="B30" s="7"/>
      <c r="C30" s="7"/>
      <c r="D30" s="7"/>
      <c r="E30" s="7"/>
      <c r="F30" s="7"/>
      <c r="G30" s="7"/>
      <c r="H30" s="7"/>
      <c r="I30" s="7"/>
      <c r="J30" s="12"/>
      <c r="K30" s="7"/>
      <c r="L30" s="7"/>
    </row>
    <row r="31" spans="1:2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3" spans="1:10">
      <c r="A33" s="3"/>
      <c r="B33" s="3"/>
      <c r="C33" s="3"/>
      <c r="D33" s="3"/>
      <c r="E33" s="3"/>
      <c r="F33" s="3"/>
      <c r="G33" s="3"/>
      <c r="H33" s="3"/>
    </row>
    <row r="34" spans="1:10">
      <c r="A34" s="3"/>
      <c r="B34" s="3"/>
      <c r="C34" s="3"/>
      <c r="D34" s="3"/>
      <c r="E34" s="3"/>
      <c r="F34" s="3"/>
      <c r="G34" s="3"/>
      <c r="H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</row>
    <row r="37" spans="1:10">
      <c r="A37" s="3"/>
      <c r="B37" s="3"/>
      <c r="C37" s="3"/>
      <c r="D37" s="3"/>
      <c r="E37" s="3"/>
      <c r="F37" s="3"/>
      <c r="G37" s="3"/>
      <c r="H37" s="3"/>
    </row>
    <row r="38" spans="1:10">
      <c r="A38" s="3"/>
      <c r="B38" s="3"/>
      <c r="C38" s="3"/>
      <c r="D38" s="3"/>
      <c r="E38" s="3"/>
      <c r="F38" s="3"/>
      <c r="G38" s="3"/>
      <c r="H38" s="3"/>
    </row>
    <row r="39" spans="1:10">
      <c r="A39" s="3"/>
      <c r="B39" s="3"/>
      <c r="C39" s="3"/>
      <c r="D39" s="3"/>
      <c r="E39" s="3"/>
      <c r="F39" s="3"/>
      <c r="G39" s="3"/>
      <c r="H39" s="3"/>
    </row>
    <row r="40" spans="1:10">
      <c r="A40" s="3"/>
      <c r="B40" s="3"/>
      <c r="C40" s="3"/>
      <c r="D40" s="3"/>
      <c r="E40" s="3"/>
      <c r="F40" s="3"/>
      <c r="G40" s="3"/>
      <c r="H40" s="3"/>
    </row>
    <row r="41" spans="1:10">
      <c r="A41" s="3"/>
      <c r="B41" s="3"/>
      <c r="C41" s="3"/>
      <c r="D41" s="3"/>
      <c r="E41" s="3"/>
      <c r="F41" s="3"/>
      <c r="G41" s="3"/>
      <c r="H41" s="3"/>
    </row>
    <row r="42" spans="1:10">
      <c r="A42" s="3"/>
      <c r="B42" s="3"/>
      <c r="C42" s="3"/>
      <c r="D42" s="3"/>
      <c r="E42" s="3"/>
      <c r="F42" s="3"/>
      <c r="G42" s="3"/>
      <c r="H42" s="3"/>
    </row>
    <row r="43" spans="1:10">
      <c r="A43" s="3"/>
      <c r="B43" s="3"/>
      <c r="C43" s="3"/>
      <c r="D43" s="3"/>
      <c r="E43" s="3"/>
      <c r="F43" s="3"/>
      <c r="G43" s="3"/>
      <c r="H43" s="3"/>
    </row>
    <row r="44" spans="1:10">
      <c r="A44" s="3"/>
      <c r="B44" s="3"/>
      <c r="C44" s="3"/>
      <c r="D44" s="3"/>
      <c r="E44" s="3"/>
      <c r="F44" s="3"/>
      <c r="G44" s="3"/>
      <c r="H44" s="3"/>
    </row>
    <row r="45" spans="1:10">
      <c r="A45" s="3"/>
      <c r="B45" s="3"/>
      <c r="C45" s="3"/>
      <c r="D45" s="3"/>
      <c r="E45" s="3"/>
      <c r="F45" s="3"/>
      <c r="G45" s="3"/>
      <c r="H45" s="3"/>
    </row>
    <row r="46" spans="1:10">
      <c r="A46" s="3"/>
      <c r="B46" s="3"/>
      <c r="C46" s="3"/>
      <c r="D46" s="3"/>
      <c r="E46" s="3"/>
      <c r="F46" s="3"/>
      <c r="G46" s="3"/>
      <c r="H46" s="3"/>
    </row>
    <row r="47" spans="1:10">
      <c r="A47" s="3"/>
      <c r="B47" s="3"/>
      <c r="C47" s="3"/>
      <c r="D47" s="3"/>
      <c r="E47" s="3"/>
      <c r="F47" s="3"/>
      <c r="G47" s="3"/>
      <c r="H47" s="3"/>
    </row>
    <row r="48" spans="1:10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</sheetData>
  <mergeCells count="6">
    <mergeCell ref="F4:H4"/>
    <mergeCell ref="A4:C4"/>
    <mergeCell ref="K2:M2"/>
    <mergeCell ref="K4:M4"/>
    <mergeCell ref="A2:C2"/>
    <mergeCell ref="F2:H2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6"/>
  <sheetViews>
    <sheetView topLeftCell="F1" workbookViewId="0">
      <selection activeCell="A3" sqref="A3:A13"/>
    </sheetView>
  </sheetViews>
  <sheetFormatPr baseColWidth="10" defaultRowHeight="15"/>
  <sheetData>
    <row r="1" spans="1:21">
      <c r="C1" s="47" t="s">
        <v>158</v>
      </c>
    </row>
    <row r="2" spans="1:21">
      <c r="B2" s="81" t="s">
        <v>153</v>
      </c>
      <c r="C2" s="81"/>
      <c r="D2" s="81"/>
      <c r="G2" s="81" t="s">
        <v>153</v>
      </c>
      <c r="H2" s="81"/>
      <c r="I2" s="81"/>
      <c r="L2" s="82" t="s">
        <v>153</v>
      </c>
      <c r="M2" s="82"/>
      <c r="N2" s="82"/>
      <c r="Q2" s="82" t="s">
        <v>153</v>
      </c>
      <c r="R2" s="82"/>
      <c r="S2" s="82"/>
    </row>
    <row r="3" spans="1:21">
      <c r="A3" t="s">
        <v>27</v>
      </c>
      <c r="B3">
        <v>1</v>
      </c>
      <c r="C3">
        <v>2</v>
      </c>
      <c r="D3">
        <v>3</v>
      </c>
      <c r="G3">
        <v>1</v>
      </c>
      <c r="H3">
        <v>2</v>
      </c>
      <c r="I3">
        <v>3</v>
      </c>
      <c r="L3" s="9">
        <v>1</v>
      </c>
      <c r="M3" s="9">
        <v>2</v>
      </c>
      <c r="N3" s="9">
        <v>3</v>
      </c>
      <c r="Q3" s="9">
        <v>1</v>
      </c>
      <c r="R3" s="9">
        <v>2</v>
      </c>
      <c r="S3" s="9">
        <v>3</v>
      </c>
    </row>
    <row r="4" spans="1:21">
      <c r="B4" s="81" t="s">
        <v>152</v>
      </c>
      <c r="C4" s="81"/>
      <c r="D4" s="81"/>
      <c r="E4" t="s">
        <v>26</v>
      </c>
      <c r="F4" t="s">
        <v>31</v>
      </c>
      <c r="G4" s="81" t="s">
        <v>139</v>
      </c>
      <c r="H4" s="81"/>
      <c r="I4" s="81"/>
      <c r="J4" t="s">
        <v>26</v>
      </c>
      <c r="K4" t="s">
        <v>31</v>
      </c>
      <c r="L4" s="81" t="s">
        <v>160</v>
      </c>
      <c r="M4" s="81"/>
      <c r="N4" s="81"/>
      <c r="O4" t="s">
        <v>26</v>
      </c>
      <c r="P4" t="s">
        <v>31</v>
      </c>
      <c r="Q4" s="82" t="s">
        <v>161</v>
      </c>
      <c r="R4" s="82"/>
      <c r="S4" s="82"/>
      <c r="T4" t="s">
        <v>26</v>
      </c>
      <c r="U4" t="s">
        <v>31</v>
      </c>
    </row>
    <row r="5" spans="1:21">
      <c r="A5">
        <v>0</v>
      </c>
      <c r="B5">
        <v>4.851</v>
      </c>
      <c r="C5">
        <v>4.9909999999999997</v>
      </c>
      <c r="D5">
        <v>5.3639999999999999</v>
      </c>
      <c r="E5">
        <f>AVERAGE(B5:D5)</f>
        <v>5.0686666666666662</v>
      </c>
      <c r="F5">
        <f>_xlfn.STDEV.P(B5:D5)</f>
        <v>0.21651225266842419</v>
      </c>
      <c r="G5">
        <v>8.4969999999999999</v>
      </c>
      <c r="H5">
        <v>9.4009999999999998</v>
      </c>
      <c r="I5">
        <v>9.0890000000000004</v>
      </c>
      <c r="J5">
        <f>AVERAGE(G5:I5)</f>
        <v>8.9956666666666667</v>
      </c>
      <c r="K5">
        <f>_xlfn.STDEV.P(G5:I5)</f>
        <v>0.37491095239032723</v>
      </c>
      <c r="L5">
        <v>6.7370000000000001</v>
      </c>
      <c r="M5">
        <v>6.2960000000000003</v>
      </c>
      <c r="N5">
        <v>5.6849999999999996</v>
      </c>
      <c r="O5">
        <f>AVERAGE(L5:N5)</f>
        <v>6.2393333333333336</v>
      </c>
      <c r="P5">
        <f>_xlfn.STDEV.P(L5:N5)</f>
        <v>0.43134234921025594</v>
      </c>
      <c r="Q5">
        <v>5.0430000000000001</v>
      </c>
      <c r="R5">
        <v>5.9080000000000004</v>
      </c>
      <c r="S5">
        <v>5.524</v>
      </c>
      <c r="T5">
        <f>AVERAGE(Q5:S5)</f>
        <v>5.4916666666666671</v>
      </c>
      <c r="U5">
        <f>_xlfn.STDEV.P(Q5:S5)</f>
        <v>0.35387411446570793</v>
      </c>
    </row>
    <row r="6" spans="1:21">
      <c r="A6">
        <v>1</v>
      </c>
      <c r="B6">
        <v>4.5529999999999999</v>
      </c>
      <c r="C6">
        <v>3.9889999999999999</v>
      </c>
      <c r="D6">
        <v>4.4660000000000002</v>
      </c>
      <c r="E6">
        <f>AVERAGE(B6:D6)</f>
        <v>4.3359999999999994</v>
      </c>
      <c r="F6">
        <f t="shared" ref="F6:F13" si="0">_xlfn.STDEV.P(B6:D6)</f>
        <v>0.2479233752593733</v>
      </c>
      <c r="G6">
        <v>6.7839999999999998</v>
      </c>
      <c r="H6">
        <v>8.91</v>
      </c>
      <c r="I6">
        <v>10.88</v>
      </c>
      <c r="J6">
        <f>AVERAGE(G6:I6)</f>
        <v>8.8579999999999988</v>
      </c>
      <c r="K6">
        <f t="shared" ref="K6:K13" si="1">_xlfn.STDEV.P(G6:I6)</f>
        <v>1.6725892103761442</v>
      </c>
      <c r="L6">
        <v>6.8760000000000003</v>
      </c>
      <c r="M6">
        <v>7.02</v>
      </c>
      <c r="N6">
        <v>5.0599999999999996</v>
      </c>
      <c r="O6">
        <f>AVERAGE(L6:N6)</f>
        <v>6.3186666666666662</v>
      </c>
      <c r="P6">
        <f t="shared" ref="P6:P13" si="2">_xlfn.STDEV.P(L6:N6)</f>
        <v>0.8919511695652933</v>
      </c>
      <c r="Q6">
        <v>4.8470000000000004</v>
      </c>
      <c r="R6">
        <v>4.8109999999999999</v>
      </c>
      <c r="S6">
        <v>4.5549999999999997</v>
      </c>
      <c r="T6">
        <f>AVERAGE(Q6:S6)</f>
        <v>4.7376666666666667</v>
      </c>
      <c r="U6">
        <f t="shared" ref="U6:U13" si="3">_xlfn.STDEV.P(Q6:S6)</f>
        <v>0.12999829058705201</v>
      </c>
    </row>
    <row r="7" spans="1:21">
      <c r="A7">
        <v>2</v>
      </c>
      <c r="B7">
        <v>3.9609999999999999</v>
      </c>
      <c r="C7">
        <v>3.5910000000000002</v>
      </c>
      <c r="D7">
        <v>3.8889999999999998</v>
      </c>
      <c r="E7">
        <f>AVERAGE(B7:D7)</f>
        <v>3.8136666666666663</v>
      </c>
      <c r="F7">
        <f t="shared" si="0"/>
        <v>0.1601693548161513</v>
      </c>
      <c r="G7">
        <v>6.5890000000000004</v>
      </c>
      <c r="H7">
        <v>7.0220000000000002</v>
      </c>
      <c r="I7">
        <v>7.0620000000000003</v>
      </c>
      <c r="J7">
        <f>AVERAGE(G7:I7)</f>
        <v>6.8910000000000009</v>
      </c>
      <c r="K7">
        <f t="shared" si="1"/>
        <v>0.21416971463460149</v>
      </c>
      <c r="L7">
        <v>6.4779999999999998</v>
      </c>
      <c r="M7">
        <v>7.8810000000000002</v>
      </c>
      <c r="N7">
        <v>6.157</v>
      </c>
      <c r="O7">
        <f>AVERAGE(L7:N7)</f>
        <v>6.8386666666666658</v>
      </c>
      <c r="P7">
        <f t="shared" si="2"/>
        <v>0.74860062041712006</v>
      </c>
      <c r="Q7">
        <v>4.9950000000000001</v>
      </c>
      <c r="R7">
        <v>5.77</v>
      </c>
      <c r="S7">
        <v>3.8879999999999999</v>
      </c>
      <c r="T7">
        <f>AVERAGE(Q7:S7)</f>
        <v>4.8843333333333332</v>
      </c>
      <c r="U7">
        <f t="shared" si="3"/>
        <v>0.77229801386655283</v>
      </c>
    </row>
    <row r="8" spans="1:21">
      <c r="A8">
        <v>4</v>
      </c>
      <c r="B8">
        <v>3.492</v>
      </c>
      <c r="C8">
        <v>3.621</v>
      </c>
      <c r="D8">
        <v>3.5630000000000002</v>
      </c>
      <c r="E8">
        <f t="shared" ref="E8:E13" si="4">AVERAGE(B8:D8)</f>
        <v>3.5586666666666669</v>
      </c>
      <c r="F8">
        <f t="shared" si="0"/>
        <v>5.2753093642827147E-2</v>
      </c>
      <c r="G8">
        <v>6.1109999999999998</v>
      </c>
      <c r="H8">
        <v>6.73</v>
      </c>
      <c r="I8">
        <v>7.2380000000000004</v>
      </c>
      <c r="J8">
        <f>AVERAGE(G8:I8)</f>
        <v>6.6930000000000005</v>
      </c>
      <c r="K8">
        <f t="shared" si="1"/>
        <v>0.46083908977718774</v>
      </c>
      <c r="L8">
        <v>7.0049999999999999</v>
      </c>
      <c r="M8">
        <v>5.6</v>
      </c>
      <c r="N8">
        <v>6.02</v>
      </c>
      <c r="O8">
        <f>AVERAGE(L8:N8)</f>
        <v>6.208333333333333</v>
      </c>
      <c r="P8">
        <f t="shared" si="2"/>
        <v>0.58884538623384752</v>
      </c>
      <c r="Q8">
        <v>4.2889999999999997</v>
      </c>
      <c r="R8">
        <v>4.8040000000000003</v>
      </c>
      <c r="S8">
        <v>4.0670000000000002</v>
      </c>
      <c r="T8">
        <f t="shared" ref="T8:T13" si="5">AVERAGE(Q8:S8)</f>
        <v>4.3866666666666667</v>
      </c>
      <c r="U8">
        <f t="shared" si="3"/>
        <v>0.30870302161714519</v>
      </c>
    </row>
    <row r="9" spans="1:21">
      <c r="A9">
        <v>8</v>
      </c>
      <c r="B9">
        <v>3.5259999999999998</v>
      </c>
      <c r="C9">
        <v>3.8109999999999999</v>
      </c>
      <c r="D9">
        <v>3.1320000000000001</v>
      </c>
      <c r="E9">
        <f t="shared" si="4"/>
        <v>3.4896666666666665</v>
      </c>
      <c r="F9">
        <f t="shared" si="0"/>
        <v>0.2783886172641083</v>
      </c>
      <c r="G9">
        <v>6.3540000000000001</v>
      </c>
      <c r="H9">
        <v>6.1050000000000004</v>
      </c>
      <c r="I9">
        <v>5.2729999999999997</v>
      </c>
      <c r="J9">
        <f>AVERAGE(G9:I9)</f>
        <v>5.9106666666666667</v>
      </c>
      <c r="K9">
        <f t="shared" si="1"/>
        <v>0.4622151975961945</v>
      </c>
      <c r="L9">
        <v>6.5570000000000004</v>
      </c>
      <c r="M9">
        <v>6.2359999999999998</v>
      </c>
      <c r="N9">
        <v>5.24</v>
      </c>
      <c r="O9">
        <f>AVERAGE(L9:N9)</f>
        <v>6.0110000000000001</v>
      </c>
      <c r="P9">
        <f t="shared" si="2"/>
        <v>0.56070848040670829</v>
      </c>
      <c r="Q9">
        <v>4.68</v>
      </c>
      <c r="R9">
        <v>4.1829999999999998</v>
      </c>
      <c r="S9">
        <v>3.48</v>
      </c>
      <c r="T9">
        <f t="shared" si="5"/>
        <v>4.1143333333333336</v>
      </c>
      <c r="U9">
        <f t="shared" si="3"/>
        <v>0.4922982384241818</v>
      </c>
    </row>
    <row r="10" spans="1:21">
      <c r="A10">
        <v>12</v>
      </c>
      <c r="B10">
        <v>3.4510000000000001</v>
      </c>
      <c r="C10">
        <v>3.5819999999999999</v>
      </c>
      <c r="D10">
        <v>3.3260000000000001</v>
      </c>
      <c r="E10">
        <f t="shared" si="4"/>
        <v>3.4529999999999998</v>
      </c>
      <c r="F10">
        <f t="shared" si="0"/>
        <v>0.10452113024009378</v>
      </c>
      <c r="G10">
        <v>6.02</v>
      </c>
      <c r="H10">
        <v>5.9349999999999996</v>
      </c>
      <c r="I10">
        <v>5.55</v>
      </c>
      <c r="J10">
        <f t="shared" ref="J10:J13" si="6">AVERAGE(G10:I10)</f>
        <v>5.835</v>
      </c>
      <c r="K10">
        <f t="shared" si="1"/>
        <v>0.2044912386061237</v>
      </c>
      <c r="L10">
        <v>6.0369999999999999</v>
      </c>
      <c r="M10">
        <v>5.3760000000000003</v>
      </c>
      <c r="N10">
        <v>6.37</v>
      </c>
      <c r="O10">
        <f t="shared" ref="O10:O13" si="7">AVERAGE(L10:N10)</f>
        <v>5.9276666666666671</v>
      </c>
      <c r="P10">
        <f t="shared" si="2"/>
        <v>0.41309751337372569</v>
      </c>
      <c r="Q10">
        <v>4.18</v>
      </c>
      <c r="R10">
        <v>3.82</v>
      </c>
      <c r="S10">
        <v>3.9780000000000002</v>
      </c>
      <c r="T10">
        <f t="shared" si="5"/>
        <v>3.9926666666666666</v>
      </c>
      <c r="U10">
        <f t="shared" si="3"/>
        <v>0.14733484162123886</v>
      </c>
    </row>
    <row r="11" spans="1:21">
      <c r="A11">
        <v>24</v>
      </c>
      <c r="B11">
        <v>3.2890000000000001</v>
      </c>
      <c r="C11">
        <v>3.1339999999999999</v>
      </c>
      <c r="D11">
        <v>3.044</v>
      </c>
      <c r="E11">
        <f t="shared" si="4"/>
        <v>3.1556666666666668</v>
      </c>
      <c r="F11">
        <f t="shared" si="0"/>
        <v>0.10118739491107033</v>
      </c>
      <c r="G11">
        <v>5.5430000000000001</v>
      </c>
      <c r="H11">
        <v>5.6909999999999998</v>
      </c>
      <c r="I11">
        <v>4.7930000000000001</v>
      </c>
      <c r="J11">
        <f t="shared" si="6"/>
        <v>5.3423333333333334</v>
      </c>
      <c r="K11">
        <f t="shared" si="1"/>
        <v>0.39310841026645837</v>
      </c>
      <c r="L11">
        <v>5.3819999999999997</v>
      </c>
      <c r="M11">
        <v>4.4980000000000002</v>
      </c>
      <c r="N11">
        <v>4.8730000000000002</v>
      </c>
      <c r="O11">
        <f t="shared" si="7"/>
        <v>4.9176666666666664</v>
      </c>
      <c r="P11">
        <f t="shared" si="2"/>
        <v>0.3622709237880154</v>
      </c>
      <c r="Q11">
        <v>3.6269999999999998</v>
      </c>
      <c r="R11">
        <v>3.4369999999999998</v>
      </c>
      <c r="S11">
        <v>3.8220000000000001</v>
      </c>
      <c r="T11">
        <f t="shared" si="5"/>
        <v>3.6286666666666663</v>
      </c>
      <c r="U11">
        <f t="shared" si="3"/>
        <v>0.15718001003803117</v>
      </c>
    </row>
    <row r="12" spans="1:21">
      <c r="A12">
        <v>48</v>
      </c>
      <c r="B12">
        <v>2.9510000000000001</v>
      </c>
      <c r="C12">
        <v>2.8340000000000001</v>
      </c>
      <c r="D12">
        <v>3.0310000000000001</v>
      </c>
      <c r="E12">
        <f t="shared" si="4"/>
        <v>2.9386666666666668</v>
      </c>
      <c r="F12">
        <f t="shared" si="0"/>
        <v>8.0896367175678704E-2</v>
      </c>
      <c r="G12">
        <v>3.3690000000000002</v>
      </c>
      <c r="H12">
        <v>3.2240000000000002</v>
      </c>
      <c r="I12">
        <v>4.4420000000000002</v>
      </c>
      <c r="J12">
        <f t="shared" si="6"/>
        <v>3.6783333333333332</v>
      </c>
      <c r="K12">
        <f t="shared" si="1"/>
        <v>0.54322882430478203</v>
      </c>
      <c r="L12">
        <v>3.9780000000000002</v>
      </c>
      <c r="M12">
        <v>5.4710000000000001</v>
      </c>
      <c r="N12">
        <v>4.4569999999999999</v>
      </c>
      <c r="O12">
        <f t="shared" si="7"/>
        <v>4.6353333333333326</v>
      </c>
      <c r="P12">
        <f t="shared" si="2"/>
        <v>0.62242232893394644</v>
      </c>
      <c r="Q12">
        <v>4.077</v>
      </c>
      <c r="R12">
        <v>3.4129999999999998</v>
      </c>
      <c r="S12">
        <v>4.1310000000000002</v>
      </c>
      <c r="T12">
        <f t="shared" si="5"/>
        <v>3.8736666666666668</v>
      </c>
      <c r="U12">
        <f t="shared" si="3"/>
        <v>0.32648566413992663</v>
      </c>
    </row>
    <row r="13" spans="1:21">
      <c r="A13">
        <v>72</v>
      </c>
      <c r="B13">
        <v>2.34</v>
      </c>
      <c r="C13">
        <v>2.0310000000000001</v>
      </c>
      <c r="D13">
        <v>1.9630000000000001</v>
      </c>
      <c r="E13">
        <f t="shared" si="4"/>
        <v>2.1113333333333335</v>
      </c>
      <c r="F13">
        <f t="shared" si="0"/>
        <v>0.1640575779684951</v>
      </c>
      <c r="G13">
        <v>2.964</v>
      </c>
      <c r="H13">
        <v>2.6749999999999998</v>
      </c>
      <c r="I13">
        <v>3.2029999999999998</v>
      </c>
      <c r="J13">
        <f t="shared" si="6"/>
        <v>2.9473333333333329</v>
      </c>
      <c r="K13">
        <f t="shared" si="1"/>
        <v>0.21587702260520664</v>
      </c>
      <c r="L13">
        <v>3.2509999999999999</v>
      </c>
      <c r="M13">
        <v>2.3210000000000002</v>
      </c>
      <c r="N13">
        <v>2.492</v>
      </c>
      <c r="O13">
        <f t="shared" si="7"/>
        <v>2.6880000000000002</v>
      </c>
      <c r="P13">
        <f t="shared" si="2"/>
        <v>0.40417570436630551</v>
      </c>
      <c r="Q13">
        <v>2.9409999999999998</v>
      </c>
      <c r="R13">
        <v>2.2839999999999998</v>
      </c>
      <c r="S13">
        <v>2.028</v>
      </c>
      <c r="T13">
        <f t="shared" si="5"/>
        <v>2.4176666666666669</v>
      </c>
      <c r="U13">
        <f t="shared" si="3"/>
        <v>0.38452770453577911</v>
      </c>
    </row>
    <row r="15" spans="1:21">
      <c r="E15">
        <f>E13/E5*100</f>
        <v>41.654610022359599</v>
      </c>
      <c r="J15">
        <f>J13/J5*100</f>
        <v>32.763923370511719</v>
      </c>
      <c r="O15">
        <f>O13/O5*100</f>
        <v>43.081525804038897</v>
      </c>
      <c r="T15">
        <f>T13/T5*100</f>
        <v>44.024279210925641</v>
      </c>
    </row>
    <row r="16" spans="1:21" ht="30">
      <c r="D16" s="13" t="s">
        <v>159</v>
      </c>
      <c r="E16">
        <f>100-E15</f>
        <v>58.345389977640401</v>
      </c>
      <c r="I16" s="13" t="s">
        <v>159</v>
      </c>
      <c r="J16">
        <f>100-J15</f>
        <v>67.236076629488281</v>
      </c>
      <c r="N16" s="13" t="s">
        <v>159</v>
      </c>
      <c r="O16">
        <f>100-O15</f>
        <v>56.918474195961103</v>
      </c>
      <c r="S16" s="13" t="s">
        <v>159</v>
      </c>
      <c r="T16">
        <f>100-T15</f>
        <v>55.975720789074359</v>
      </c>
    </row>
  </sheetData>
  <mergeCells count="8">
    <mergeCell ref="B4:D4"/>
    <mergeCell ref="B2:D2"/>
    <mergeCell ref="G2:I2"/>
    <mergeCell ref="L2:N2"/>
    <mergeCell ref="Q2:S2"/>
    <mergeCell ref="G4:I4"/>
    <mergeCell ref="L4:N4"/>
    <mergeCell ref="Q4:S4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V15"/>
  <sheetViews>
    <sheetView topLeftCell="F1" workbookViewId="0">
      <selection activeCell="F15" sqref="F15"/>
    </sheetView>
  </sheetViews>
  <sheetFormatPr baseColWidth="10" defaultRowHeight="15"/>
  <sheetData>
    <row r="1" spans="2:22">
      <c r="B1" s="47" t="s">
        <v>162</v>
      </c>
      <c r="C1" s="81" t="s">
        <v>153</v>
      </c>
      <c r="D1" s="81"/>
      <c r="E1" s="81"/>
      <c r="H1" s="81" t="s">
        <v>153</v>
      </c>
      <c r="I1" s="81"/>
      <c r="J1" s="81"/>
      <c r="M1" s="82" t="s">
        <v>153</v>
      </c>
      <c r="N1" s="82"/>
      <c r="O1" s="82"/>
      <c r="R1" s="82" t="s">
        <v>153</v>
      </c>
      <c r="S1" s="82"/>
      <c r="T1" s="82"/>
    </row>
    <row r="2" spans="2:22">
      <c r="B2" t="s">
        <v>27</v>
      </c>
      <c r="C2">
        <v>1</v>
      </c>
      <c r="D2">
        <v>2</v>
      </c>
      <c r="E2">
        <v>3</v>
      </c>
      <c r="H2">
        <v>1</v>
      </c>
      <c r="I2">
        <v>2</v>
      </c>
      <c r="J2">
        <v>3</v>
      </c>
      <c r="M2" s="9">
        <v>1</v>
      </c>
      <c r="N2" s="9">
        <v>2</v>
      </c>
      <c r="O2" s="9">
        <v>3</v>
      </c>
      <c r="R2" s="9">
        <v>1</v>
      </c>
      <c r="S2" s="9">
        <v>2</v>
      </c>
      <c r="T2" s="9">
        <v>3</v>
      </c>
    </row>
    <row r="3" spans="2:22">
      <c r="C3" s="81" t="s">
        <v>152</v>
      </c>
      <c r="D3" s="81"/>
      <c r="E3" s="81"/>
      <c r="F3" t="s">
        <v>26</v>
      </c>
      <c r="G3" t="s">
        <v>31</v>
      </c>
      <c r="H3" s="82" t="s">
        <v>163</v>
      </c>
      <c r="I3" s="82"/>
      <c r="J3" s="82"/>
      <c r="K3" t="s">
        <v>26</v>
      </c>
      <c r="L3" t="s">
        <v>31</v>
      </c>
      <c r="M3" s="82" t="s">
        <v>164</v>
      </c>
      <c r="N3" s="82"/>
      <c r="O3" s="82"/>
      <c r="P3" t="s">
        <v>26</v>
      </c>
      <c r="Q3" t="s">
        <v>31</v>
      </c>
      <c r="R3" s="82" t="s">
        <v>165</v>
      </c>
      <c r="S3" s="82"/>
      <c r="T3" s="82"/>
      <c r="U3" t="s">
        <v>26</v>
      </c>
      <c r="V3" t="s">
        <v>31</v>
      </c>
    </row>
    <row r="4" spans="2:22">
      <c r="B4">
        <v>0</v>
      </c>
      <c r="C4">
        <v>5.1120000000000001</v>
      </c>
      <c r="D4">
        <v>4.9569999999999999</v>
      </c>
      <c r="E4">
        <v>4.8140000000000001</v>
      </c>
      <c r="F4">
        <f>AVERAGE(C4:E4)</f>
        <v>4.9609999999999994</v>
      </c>
      <c r="G4">
        <f>_xlfn.STDEV.P(C4:E4)</f>
        <v>0.12169086517346596</v>
      </c>
      <c r="H4">
        <v>6.016</v>
      </c>
      <c r="I4">
        <v>5.8769999999999998</v>
      </c>
      <c r="J4">
        <v>5.5629999999999997</v>
      </c>
      <c r="K4">
        <f>AVERAGE(H4:J4)</f>
        <v>5.8186666666666662</v>
      </c>
      <c r="L4">
        <f>_xlfn.STDEV.P(H4:J4)</f>
        <v>0.1894805765478059</v>
      </c>
      <c r="M4">
        <v>5.45</v>
      </c>
      <c r="N4">
        <v>5.0339999999999998</v>
      </c>
      <c r="O4">
        <v>6.0140000000000002</v>
      </c>
      <c r="P4">
        <f>AVERAGE(M4:O4)</f>
        <v>5.4993333333333334</v>
      </c>
      <c r="Q4">
        <f>_xlfn.STDEV.P(M4:O4)</f>
        <v>0.40160123948458587</v>
      </c>
      <c r="R4">
        <v>4.6630000000000003</v>
      </c>
      <c r="S4">
        <v>4.827</v>
      </c>
      <c r="T4">
        <v>4.4770000000000003</v>
      </c>
      <c r="U4">
        <f>AVERAGE(R4:T4)</f>
        <v>4.6556666666666668</v>
      </c>
      <c r="V4">
        <f>_xlfn.STDEV.P(R4:T4)</f>
        <v>0.14298096221370005</v>
      </c>
    </row>
    <row r="5" spans="2:22">
      <c r="B5">
        <v>1</v>
      </c>
      <c r="C5">
        <v>4.0590000000000002</v>
      </c>
      <c r="D5">
        <v>3.8860000000000001</v>
      </c>
      <c r="E5">
        <v>4.2960000000000003</v>
      </c>
      <c r="F5">
        <f>AVERAGE(C5:E5)</f>
        <v>4.0803333333333329</v>
      </c>
      <c r="G5">
        <f t="shared" ref="G5:G12" si="0">_xlfn.STDEV.P(C5:E5)</f>
        <v>0.16806017440852025</v>
      </c>
      <c r="H5">
        <v>5.1310000000000002</v>
      </c>
      <c r="I5">
        <v>4.5620000000000003</v>
      </c>
      <c r="J5">
        <v>4.306</v>
      </c>
      <c r="K5">
        <f t="shared" ref="K5:K12" si="1">AVERAGE(H5:J5)</f>
        <v>4.6663333333333341</v>
      </c>
      <c r="L5">
        <f t="shared" ref="L5:L12" si="2">_xlfn.STDEV.P(H5:J5)</f>
        <v>0.34479011328955222</v>
      </c>
      <c r="M5">
        <v>4.375</v>
      </c>
      <c r="N5">
        <v>5.056</v>
      </c>
      <c r="O5">
        <v>4.7539999999999996</v>
      </c>
      <c r="P5">
        <f>AVERAGE(M5:O5)</f>
        <v>4.7283333333333335</v>
      </c>
      <c r="Q5">
        <f t="shared" ref="Q5:Q12" si="3">_xlfn.STDEV.P(M5:O5)</f>
        <v>0.2786088456759564</v>
      </c>
      <c r="R5">
        <v>4.5510000000000002</v>
      </c>
      <c r="S5">
        <v>4.26</v>
      </c>
      <c r="T5">
        <v>3.964</v>
      </c>
      <c r="U5">
        <f t="shared" ref="U5:U12" si="4">AVERAGE(R5:T5)</f>
        <v>4.2583333333333337</v>
      </c>
      <c r="V5">
        <f t="shared" ref="V5:V12" si="5">_xlfn.STDEV.P(R5:T5)</f>
        <v>0.23964464432896385</v>
      </c>
    </row>
    <row r="6" spans="2:22">
      <c r="B6">
        <v>2</v>
      </c>
      <c r="C6">
        <v>4.0270000000000001</v>
      </c>
      <c r="D6">
        <v>3.996</v>
      </c>
      <c r="E6">
        <v>3.7909999999999999</v>
      </c>
      <c r="F6">
        <f>AVERAGE(C6:E6)</f>
        <v>3.9380000000000002</v>
      </c>
      <c r="G6">
        <f t="shared" si="0"/>
        <v>0.10471230427541303</v>
      </c>
      <c r="H6">
        <v>4.7510000000000003</v>
      </c>
      <c r="I6">
        <v>3.6829999999999998</v>
      </c>
      <c r="J6">
        <v>3.972</v>
      </c>
      <c r="K6">
        <f t="shared" si="1"/>
        <v>4.1353333333333335</v>
      </c>
      <c r="L6">
        <f t="shared" si="2"/>
        <v>0.45104643761910862</v>
      </c>
      <c r="M6">
        <v>4.6909999999999998</v>
      </c>
      <c r="N6">
        <v>5.0019999999999998</v>
      </c>
      <c r="O6">
        <v>4.3860000000000001</v>
      </c>
      <c r="P6">
        <f>AVERAGE(M6:O6)</f>
        <v>4.6930000000000005</v>
      </c>
      <c r="Q6">
        <f t="shared" si="3"/>
        <v>0.25148492333868966</v>
      </c>
      <c r="R6">
        <v>4.5279999999999996</v>
      </c>
      <c r="S6">
        <v>4.0069999999999997</v>
      </c>
      <c r="T6">
        <v>3.7919999999999998</v>
      </c>
      <c r="U6">
        <f t="shared" si="4"/>
        <v>4.109</v>
      </c>
      <c r="V6">
        <f t="shared" si="5"/>
        <v>0.30900593306062363</v>
      </c>
    </row>
    <row r="7" spans="2:22">
      <c r="B7">
        <v>4</v>
      </c>
      <c r="C7">
        <v>3.597</v>
      </c>
      <c r="D7">
        <v>3.726</v>
      </c>
      <c r="E7">
        <v>3.7629999999999999</v>
      </c>
      <c r="F7">
        <f t="shared" ref="F7:F12" si="6">AVERAGE(C7:E7)</f>
        <v>3.6953333333333336</v>
      </c>
      <c r="G7">
        <f t="shared" si="0"/>
        <v>7.1153980133853961E-2</v>
      </c>
      <c r="H7">
        <v>4.6100000000000003</v>
      </c>
      <c r="I7">
        <v>4.1180000000000003</v>
      </c>
      <c r="J7">
        <v>3.891</v>
      </c>
      <c r="K7">
        <f t="shared" si="1"/>
        <v>4.2063333333333341</v>
      </c>
      <c r="L7">
        <f t="shared" si="2"/>
        <v>0.30010257505652232</v>
      </c>
      <c r="M7">
        <v>4.97</v>
      </c>
      <c r="N7">
        <v>4.181</v>
      </c>
      <c r="O7">
        <v>4.2750000000000004</v>
      </c>
      <c r="P7">
        <f>AVERAGE(M7:O7)</f>
        <v>4.4753333333333334</v>
      </c>
      <c r="Q7">
        <f t="shared" si="3"/>
        <v>0.35188097735203316</v>
      </c>
      <c r="R7">
        <v>4.9240000000000004</v>
      </c>
      <c r="S7">
        <v>3.22</v>
      </c>
      <c r="T7">
        <v>3.6680000000000001</v>
      </c>
      <c r="U7">
        <f t="shared" si="4"/>
        <v>3.9373333333333336</v>
      </c>
      <c r="V7">
        <f t="shared" si="5"/>
        <v>0.72125323030279753</v>
      </c>
    </row>
    <row r="8" spans="2:22">
      <c r="B8">
        <v>8</v>
      </c>
      <c r="C8">
        <v>3.456</v>
      </c>
      <c r="D8">
        <v>3.3780000000000001</v>
      </c>
      <c r="E8">
        <v>3.8620000000000001</v>
      </c>
      <c r="F8">
        <f t="shared" si="6"/>
        <v>3.5653333333333332</v>
      </c>
      <c r="G8">
        <f t="shared" si="0"/>
        <v>0.21217812223590715</v>
      </c>
      <c r="H8">
        <v>4.3710000000000004</v>
      </c>
      <c r="I8">
        <v>3.9510000000000001</v>
      </c>
      <c r="J8">
        <v>3.9849999999999999</v>
      </c>
      <c r="K8">
        <f t="shared" si="1"/>
        <v>4.1023333333333332</v>
      </c>
      <c r="L8">
        <f t="shared" si="2"/>
        <v>0.19048242846928332</v>
      </c>
      <c r="M8">
        <v>4.3159999999999998</v>
      </c>
      <c r="N8">
        <v>4.2809999999999997</v>
      </c>
      <c r="O8">
        <v>4.4020000000000001</v>
      </c>
      <c r="P8">
        <f t="shared" ref="P8:P12" si="7">AVERAGE(M8:O8)</f>
        <v>4.3329999999999993</v>
      </c>
      <c r="Q8">
        <f t="shared" si="3"/>
        <v>5.0839617097955064E-2</v>
      </c>
      <c r="R8">
        <v>4.5709999999999997</v>
      </c>
      <c r="S8">
        <v>3.94</v>
      </c>
      <c r="T8">
        <v>3.5609999999999999</v>
      </c>
      <c r="U8">
        <f t="shared" si="4"/>
        <v>4.024</v>
      </c>
      <c r="V8">
        <f t="shared" si="5"/>
        <v>0.41658692570298445</v>
      </c>
    </row>
    <row r="9" spans="2:22">
      <c r="B9">
        <v>12</v>
      </c>
      <c r="C9">
        <v>3.5510000000000002</v>
      </c>
      <c r="D9">
        <v>3.601</v>
      </c>
      <c r="E9">
        <v>3.6259999999999999</v>
      </c>
      <c r="F9">
        <f t="shared" si="6"/>
        <v>3.5926666666666667</v>
      </c>
      <c r="G9">
        <f t="shared" si="0"/>
        <v>3.1180478223116068E-2</v>
      </c>
      <c r="H9">
        <v>3.7919999999999998</v>
      </c>
      <c r="I9">
        <v>4.2009999999999996</v>
      </c>
      <c r="J9">
        <v>3.9510000000000001</v>
      </c>
      <c r="K9">
        <f t="shared" si="1"/>
        <v>3.9813333333333332</v>
      </c>
      <c r="L9">
        <f t="shared" si="2"/>
        <v>0.16834554411157482</v>
      </c>
      <c r="M9">
        <v>3.9620000000000002</v>
      </c>
      <c r="N9">
        <v>3.851</v>
      </c>
      <c r="O9">
        <v>4.2949999999999999</v>
      </c>
      <c r="P9">
        <f t="shared" si="7"/>
        <v>4.0360000000000005</v>
      </c>
      <c r="Q9">
        <f t="shared" si="3"/>
        <v>0.18866372200293299</v>
      </c>
      <c r="R9">
        <v>4.0030000000000001</v>
      </c>
      <c r="S9">
        <v>3.742</v>
      </c>
      <c r="T9">
        <v>3.218</v>
      </c>
      <c r="U9">
        <f t="shared" si="4"/>
        <v>3.6543333333333337</v>
      </c>
      <c r="V9">
        <f t="shared" si="5"/>
        <v>0.32641520934063251</v>
      </c>
    </row>
    <row r="10" spans="2:22">
      <c r="B10">
        <v>24</v>
      </c>
      <c r="C10">
        <v>3.4889999999999999</v>
      </c>
      <c r="D10">
        <v>3.5659999999999998</v>
      </c>
      <c r="E10">
        <v>3.3439999999999999</v>
      </c>
      <c r="F10">
        <f t="shared" si="6"/>
        <v>3.466333333333333</v>
      </c>
      <c r="G10">
        <f t="shared" si="0"/>
        <v>9.2037431998556365E-2</v>
      </c>
      <c r="H10">
        <v>3.9820000000000002</v>
      </c>
      <c r="I10">
        <v>3.6309999999999998</v>
      </c>
      <c r="J10">
        <v>4.91</v>
      </c>
      <c r="K10">
        <f t="shared" si="1"/>
        <v>4.1743333333333332</v>
      </c>
      <c r="L10">
        <f t="shared" si="2"/>
        <v>0.53957040525053124</v>
      </c>
      <c r="M10">
        <v>4.0090000000000003</v>
      </c>
      <c r="N10">
        <v>3.8180000000000001</v>
      </c>
      <c r="O10">
        <v>3.9969999999999999</v>
      </c>
      <c r="P10">
        <f t="shared" si="7"/>
        <v>3.9413333333333331</v>
      </c>
      <c r="Q10">
        <f t="shared" si="3"/>
        <v>8.7347327123132756E-2</v>
      </c>
      <c r="R10">
        <v>3.2919999999999998</v>
      </c>
      <c r="S10">
        <v>3.9060000000000001</v>
      </c>
      <c r="T10">
        <v>3.673</v>
      </c>
      <c r="U10">
        <f t="shared" si="4"/>
        <v>3.6236666666666668</v>
      </c>
      <c r="V10">
        <f t="shared" si="5"/>
        <v>0.2530801366278192</v>
      </c>
    </row>
    <row r="11" spans="2:22">
      <c r="B11">
        <v>48</v>
      </c>
      <c r="C11">
        <v>3.181</v>
      </c>
      <c r="D11">
        <v>3.6339999999999999</v>
      </c>
      <c r="E11">
        <v>3.0009999999999999</v>
      </c>
      <c r="F11">
        <f t="shared" si="6"/>
        <v>3.2719999999999998</v>
      </c>
      <c r="G11">
        <f t="shared" si="0"/>
        <v>0.26631184727683443</v>
      </c>
      <c r="H11">
        <v>3.4590000000000001</v>
      </c>
      <c r="I11">
        <v>4.2039999999999997</v>
      </c>
      <c r="J11">
        <v>3.5720000000000001</v>
      </c>
      <c r="K11">
        <f t="shared" si="1"/>
        <v>3.7449999999999997</v>
      </c>
      <c r="L11">
        <f t="shared" si="2"/>
        <v>0.3278241398473678</v>
      </c>
      <c r="M11">
        <v>3.988</v>
      </c>
      <c r="N11">
        <v>3.6829999999999998</v>
      </c>
      <c r="O11">
        <v>3.9729999999999999</v>
      </c>
      <c r="P11">
        <f t="shared" si="7"/>
        <v>3.8813333333333326</v>
      </c>
      <c r="Q11">
        <f t="shared" si="3"/>
        <v>0.14037647792830382</v>
      </c>
      <c r="R11">
        <v>3.1560000000000001</v>
      </c>
      <c r="S11">
        <v>3.6120000000000001</v>
      </c>
      <c r="T11">
        <v>4.0910000000000002</v>
      </c>
      <c r="U11">
        <f t="shared" si="4"/>
        <v>3.6196666666666673</v>
      </c>
      <c r="V11">
        <f t="shared" si="5"/>
        <v>0.38175064578275658</v>
      </c>
    </row>
    <row r="12" spans="2:22">
      <c r="B12">
        <v>72</v>
      </c>
      <c r="C12">
        <v>2.5099999999999998</v>
      </c>
      <c r="D12">
        <v>2.286</v>
      </c>
      <c r="E12">
        <v>2.3109999999999999</v>
      </c>
      <c r="F12">
        <f t="shared" si="6"/>
        <v>2.3689999999999998</v>
      </c>
      <c r="G12">
        <f t="shared" si="0"/>
        <v>0.10022308449986285</v>
      </c>
      <c r="H12">
        <v>3.1840000000000002</v>
      </c>
      <c r="I12">
        <v>2.6480000000000001</v>
      </c>
      <c r="J12">
        <v>2.2090000000000001</v>
      </c>
      <c r="K12">
        <f t="shared" si="1"/>
        <v>2.6803333333333335</v>
      </c>
      <c r="L12">
        <f t="shared" si="2"/>
        <v>0.39869815929123792</v>
      </c>
      <c r="M12">
        <v>2.5609999999999999</v>
      </c>
      <c r="N12">
        <v>2.3889999999999998</v>
      </c>
      <c r="O12">
        <v>2.1629999999999998</v>
      </c>
      <c r="P12">
        <f t="shared" si="7"/>
        <v>2.371</v>
      </c>
      <c r="Q12">
        <f t="shared" si="3"/>
        <v>0.16298057143925679</v>
      </c>
      <c r="R12">
        <v>2.0619999999999998</v>
      </c>
      <c r="S12">
        <v>2.3809999999999998</v>
      </c>
      <c r="T12">
        <v>2.8479999999999999</v>
      </c>
      <c r="U12">
        <f t="shared" si="4"/>
        <v>2.430333333333333</v>
      </c>
      <c r="V12">
        <f t="shared" si="5"/>
        <v>0.32277374256418223</v>
      </c>
    </row>
    <row r="14" spans="2:22">
      <c r="F14">
        <f>F12/F4*100</f>
        <v>47.752469260229795</v>
      </c>
      <c r="K14">
        <f>K12/K4*100</f>
        <v>46.064390467461052</v>
      </c>
      <c r="P14">
        <f>P12/P4*100</f>
        <v>43.114316886895381</v>
      </c>
      <c r="U14">
        <f>U12/U4*100</f>
        <v>52.20161809980668</v>
      </c>
    </row>
    <row r="15" spans="2:22" ht="30">
      <c r="E15" s="13" t="s">
        <v>159</v>
      </c>
      <c r="F15">
        <f>100-F14</f>
        <v>52.247530739770205</v>
      </c>
      <c r="J15" s="13" t="s">
        <v>159</v>
      </c>
      <c r="K15">
        <f>100-K14</f>
        <v>53.935609532538948</v>
      </c>
      <c r="O15" s="13" t="s">
        <v>159</v>
      </c>
      <c r="P15">
        <f>100-P14</f>
        <v>56.885683113104619</v>
      </c>
      <c r="T15" s="13" t="s">
        <v>159</v>
      </c>
      <c r="U15">
        <f>100-U14</f>
        <v>47.79838190019332</v>
      </c>
    </row>
  </sheetData>
  <mergeCells count="8">
    <mergeCell ref="C3:E3"/>
    <mergeCell ref="C1:E1"/>
    <mergeCell ref="H1:J1"/>
    <mergeCell ref="M1:O1"/>
    <mergeCell ref="R1:T1"/>
    <mergeCell ref="H3:J3"/>
    <mergeCell ref="M3:O3"/>
    <mergeCell ref="R3:T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21"/>
  <sheetViews>
    <sheetView topLeftCell="D1" workbookViewId="0">
      <selection activeCell="N25" sqref="N25"/>
    </sheetView>
  </sheetViews>
  <sheetFormatPr baseColWidth="10" defaultRowHeight="15"/>
  <sheetData>
    <row r="1" spans="1:22">
      <c r="A1" s="47" t="s">
        <v>166</v>
      </c>
      <c r="C1" s="81" t="s">
        <v>153</v>
      </c>
      <c r="D1" s="81"/>
      <c r="E1" s="81"/>
      <c r="H1" s="81" t="s">
        <v>153</v>
      </c>
      <c r="I1" s="81"/>
      <c r="J1" s="81"/>
      <c r="M1" s="82" t="s">
        <v>153</v>
      </c>
      <c r="N1" s="82"/>
      <c r="O1" s="82"/>
      <c r="R1" s="82" t="s">
        <v>153</v>
      </c>
      <c r="S1" s="82"/>
      <c r="T1" s="82"/>
    </row>
    <row r="2" spans="1:22">
      <c r="C2">
        <v>1</v>
      </c>
      <c r="D2">
        <v>2</v>
      </c>
      <c r="E2">
        <v>3</v>
      </c>
      <c r="H2">
        <v>1</v>
      </c>
      <c r="I2">
        <v>2</v>
      </c>
      <c r="J2">
        <v>3</v>
      </c>
      <c r="M2" s="9">
        <v>1</v>
      </c>
      <c r="N2" s="9">
        <v>2</v>
      </c>
      <c r="O2" s="9">
        <v>3</v>
      </c>
      <c r="R2" s="9">
        <v>1</v>
      </c>
      <c r="S2" s="9">
        <v>2</v>
      </c>
      <c r="T2" s="9">
        <v>3</v>
      </c>
    </row>
    <row r="3" spans="1:22">
      <c r="B3" t="s">
        <v>27</v>
      </c>
      <c r="C3" s="82" t="s">
        <v>152</v>
      </c>
      <c r="D3" s="82"/>
      <c r="E3" s="82"/>
      <c r="F3" t="s">
        <v>26</v>
      </c>
      <c r="G3" t="s">
        <v>31</v>
      </c>
      <c r="H3" s="82" t="s">
        <v>167</v>
      </c>
      <c r="I3" s="82"/>
      <c r="J3" s="82"/>
      <c r="K3" t="s">
        <v>26</v>
      </c>
      <c r="L3" t="s">
        <v>31</v>
      </c>
      <c r="M3" s="82" t="s">
        <v>168</v>
      </c>
      <c r="N3" s="82"/>
      <c r="O3" s="82"/>
      <c r="P3" t="s">
        <v>26</v>
      </c>
      <c r="Q3" t="s">
        <v>31</v>
      </c>
      <c r="R3" t="s">
        <v>35</v>
      </c>
      <c r="S3" t="s">
        <v>36</v>
      </c>
      <c r="T3" t="s">
        <v>37</v>
      </c>
      <c r="U3" t="s">
        <v>26</v>
      </c>
      <c r="V3" t="s">
        <v>31</v>
      </c>
    </row>
    <row r="4" spans="1:22">
      <c r="B4">
        <v>0</v>
      </c>
      <c r="C4">
        <v>4.9320000000000004</v>
      </c>
      <c r="D4">
        <v>4.8570000000000002</v>
      </c>
      <c r="E4">
        <v>4.766</v>
      </c>
      <c r="F4">
        <f>AVERAGE(C4:E4)</f>
        <v>4.8516666666666675</v>
      </c>
      <c r="G4">
        <f>_xlfn.STDEV.P(C4:E4)</f>
        <v>6.7874066394234184E-2</v>
      </c>
      <c r="H4">
        <v>39.32</v>
      </c>
      <c r="I4">
        <v>33.21</v>
      </c>
      <c r="J4">
        <v>32.79</v>
      </c>
      <c r="K4">
        <f>AVERAGE(H4:J4)</f>
        <v>35.106666666666662</v>
      </c>
      <c r="L4">
        <f>_xlfn.STDEV.P(H4:J4)</f>
        <v>2.9842065761084453</v>
      </c>
      <c r="M4">
        <v>33.950000000000003</v>
      </c>
      <c r="N4">
        <v>32.270000000000003</v>
      </c>
      <c r="O4">
        <v>25.23</v>
      </c>
      <c r="P4">
        <f>AVERAGE(M4:O4)</f>
        <v>30.483333333333334</v>
      </c>
      <c r="Q4">
        <f>_xlfn.STDEV.P(M4:O4)</f>
        <v>3.7774535808604579</v>
      </c>
      <c r="R4">
        <v>34.229999999999997</v>
      </c>
      <c r="S4">
        <v>34.28</v>
      </c>
      <c r="T4">
        <v>32.96</v>
      </c>
      <c r="U4">
        <f>AVERAGE(R4:T4)</f>
        <v>33.823333333333331</v>
      </c>
      <c r="V4">
        <f>_xlfn.STDEV.P(R4:T4)</f>
        <v>0.61081002684049635</v>
      </c>
    </row>
    <row r="5" spans="1:22">
      <c r="B5">
        <v>1</v>
      </c>
      <c r="C5">
        <v>4.359</v>
      </c>
      <c r="D5">
        <v>4.1859999999999999</v>
      </c>
      <c r="E5">
        <v>4.0960000000000001</v>
      </c>
      <c r="F5">
        <f t="shared" ref="F5:F12" si="0">AVERAGE(C5:E5)</f>
        <v>4.2136666666666667</v>
      </c>
      <c r="G5">
        <f t="shared" ref="G5:G12" si="1">_xlfn.STDEV.P(C5:E5)</f>
        <v>0.10913701887484778</v>
      </c>
      <c r="H5">
        <v>34.871000000000002</v>
      </c>
      <c r="I5">
        <v>35.951000000000001</v>
      </c>
      <c r="J5">
        <v>31.963000000000001</v>
      </c>
      <c r="K5">
        <f t="shared" ref="K5:K12" si="2">AVERAGE(H5:J5)</f>
        <v>34.261666666666663</v>
      </c>
      <c r="L5">
        <f t="shared" ref="L5:L12" si="3">_xlfn.STDEV.P(H5:J5)</f>
        <v>1.6841419839853831</v>
      </c>
      <c r="M5">
        <v>38.871000000000002</v>
      </c>
      <c r="N5">
        <v>35.002000000000002</v>
      </c>
      <c r="O5">
        <v>33.811999999999998</v>
      </c>
      <c r="P5">
        <f t="shared" ref="P5:P12" si="4">AVERAGE(M5:O5)</f>
        <v>35.895000000000003</v>
      </c>
      <c r="Q5">
        <f t="shared" ref="Q5:Q12" si="5">_xlfn.STDEV.P(M5:O5)</f>
        <v>2.1597001335061945</v>
      </c>
      <c r="R5">
        <v>33.097000000000001</v>
      </c>
      <c r="S5">
        <v>30.981000000000002</v>
      </c>
      <c r="T5">
        <v>34.997999999999998</v>
      </c>
      <c r="U5">
        <f t="shared" ref="U5:U12" si="6">AVERAGE(R5:T5)</f>
        <v>33.025333333333329</v>
      </c>
      <c r="V5">
        <f t="shared" ref="V5:V12" si="7">_xlfn.STDEV.P(R5:T5)</f>
        <v>1.6407161715408154</v>
      </c>
    </row>
    <row r="6" spans="1:22">
      <c r="B6">
        <v>2</v>
      </c>
      <c r="C6">
        <v>4.0069999999999997</v>
      </c>
      <c r="D6">
        <v>3.8959999999999999</v>
      </c>
      <c r="E6">
        <v>3.891</v>
      </c>
      <c r="F6">
        <f t="shared" si="0"/>
        <v>3.9313333333333333</v>
      </c>
      <c r="G6">
        <f t="shared" si="1"/>
        <v>5.3543336549834793E-2</v>
      </c>
      <c r="H6">
        <v>32.091000000000001</v>
      </c>
      <c r="I6">
        <v>35.238999999999997</v>
      </c>
      <c r="J6">
        <v>30.763999999999999</v>
      </c>
      <c r="K6">
        <f t="shared" si="2"/>
        <v>32.698</v>
      </c>
      <c r="L6">
        <f t="shared" si="3"/>
        <v>1.8766535819555676</v>
      </c>
      <c r="M6">
        <v>34.871000000000002</v>
      </c>
      <c r="N6">
        <v>33.009</v>
      </c>
      <c r="O6">
        <v>34.551000000000002</v>
      </c>
      <c r="P6">
        <f t="shared" si="4"/>
        <v>34.143666666666668</v>
      </c>
      <c r="Q6">
        <f t="shared" si="5"/>
        <v>0.81289660405791475</v>
      </c>
      <c r="R6">
        <v>32.997999999999998</v>
      </c>
      <c r="S6">
        <v>34.984999999999999</v>
      </c>
      <c r="T6">
        <v>34.927999999999997</v>
      </c>
      <c r="U6">
        <f t="shared" si="6"/>
        <v>34.303666666666665</v>
      </c>
      <c r="V6">
        <f t="shared" si="7"/>
        <v>0.92353896627171228</v>
      </c>
    </row>
    <row r="7" spans="1:22">
      <c r="B7">
        <v>4</v>
      </c>
      <c r="C7">
        <v>3.6970000000000001</v>
      </c>
      <c r="D7">
        <v>3.4260000000000002</v>
      </c>
      <c r="E7">
        <v>3.8690000000000002</v>
      </c>
      <c r="F7">
        <f t="shared" si="0"/>
        <v>3.6640000000000001</v>
      </c>
      <c r="G7">
        <f t="shared" si="1"/>
        <v>0.18235313725479657</v>
      </c>
      <c r="H7">
        <v>31.965</v>
      </c>
      <c r="I7">
        <v>32.975000000000001</v>
      </c>
      <c r="J7">
        <v>32.776000000000003</v>
      </c>
      <c r="K7">
        <f t="shared" si="2"/>
        <v>32.572000000000003</v>
      </c>
      <c r="L7">
        <f t="shared" si="3"/>
        <v>0.43683482767136084</v>
      </c>
      <c r="M7">
        <v>30.998000000000001</v>
      </c>
      <c r="N7">
        <v>32.009</v>
      </c>
      <c r="O7">
        <v>32.991</v>
      </c>
      <c r="P7">
        <f t="shared" si="4"/>
        <v>31.999333333333336</v>
      </c>
      <c r="Q7">
        <f t="shared" si="5"/>
        <v>0.81366755428054771</v>
      </c>
      <c r="R7">
        <v>30.158999999999999</v>
      </c>
      <c r="S7">
        <v>31.951000000000001</v>
      </c>
      <c r="T7">
        <v>32.640999999999998</v>
      </c>
      <c r="U7">
        <f t="shared" si="6"/>
        <v>31.583666666666669</v>
      </c>
      <c r="V7">
        <f t="shared" si="7"/>
        <v>1.0460342038172343</v>
      </c>
    </row>
    <row r="8" spans="1:22">
      <c r="B8">
        <v>8</v>
      </c>
      <c r="C8">
        <v>3.2559999999999998</v>
      </c>
      <c r="D8">
        <v>3.3980000000000001</v>
      </c>
      <c r="E8">
        <v>3.5619999999999998</v>
      </c>
      <c r="F8">
        <f t="shared" si="0"/>
        <v>3.4053333333333331</v>
      </c>
      <c r="G8">
        <f t="shared" si="1"/>
        <v>0.12503155157354839</v>
      </c>
      <c r="H8">
        <v>30.984999999999999</v>
      </c>
      <c r="I8">
        <v>32.975999999999999</v>
      </c>
      <c r="J8">
        <v>35.860999999999997</v>
      </c>
      <c r="K8">
        <f t="shared" si="2"/>
        <v>33.274000000000001</v>
      </c>
      <c r="L8">
        <f t="shared" si="3"/>
        <v>2.0017404094104365</v>
      </c>
      <c r="M8">
        <v>30.995999999999999</v>
      </c>
      <c r="N8">
        <v>29.521000000000001</v>
      </c>
      <c r="O8">
        <v>29.850999999999999</v>
      </c>
      <c r="P8">
        <f t="shared" si="4"/>
        <v>30.122666666666664</v>
      </c>
      <c r="Q8">
        <f t="shared" si="5"/>
        <v>0.63206451850705447</v>
      </c>
      <c r="R8">
        <v>30.971</v>
      </c>
      <c r="S8">
        <v>30.411999999999999</v>
      </c>
      <c r="T8">
        <v>30.812000000000001</v>
      </c>
      <c r="U8">
        <f t="shared" si="6"/>
        <v>30.731666666666666</v>
      </c>
      <c r="V8">
        <f t="shared" si="7"/>
        <v>0.23517416713765391</v>
      </c>
    </row>
    <row r="9" spans="1:22">
      <c r="B9">
        <v>12</v>
      </c>
      <c r="C9">
        <v>3.1509999999999998</v>
      </c>
      <c r="D9">
        <v>3.5009999999999999</v>
      </c>
      <c r="E9">
        <v>3.6259999999999999</v>
      </c>
      <c r="F9">
        <f t="shared" si="0"/>
        <v>3.4259999999999997</v>
      </c>
      <c r="G9">
        <f t="shared" si="1"/>
        <v>0.20103896803024701</v>
      </c>
      <c r="H9">
        <v>29.853000000000002</v>
      </c>
      <c r="I9">
        <v>28.050999999999998</v>
      </c>
      <c r="J9">
        <v>30.673999999999999</v>
      </c>
      <c r="K9">
        <f t="shared" si="2"/>
        <v>29.526</v>
      </c>
      <c r="L9">
        <f t="shared" si="3"/>
        <v>1.0955147952751108</v>
      </c>
      <c r="M9">
        <v>28.760999999999999</v>
      </c>
      <c r="N9">
        <v>29.998000000000001</v>
      </c>
      <c r="O9">
        <v>29.620999999999999</v>
      </c>
      <c r="P9">
        <f t="shared" si="4"/>
        <v>29.459999999999997</v>
      </c>
      <c r="Q9">
        <f t="shared" si="5"/>
        <v>0.51767621798443408</v>
      </c>
      <c r="R9">
        <v>29.850999999999999</v>
      </c>
      <c r="S9">
        <v>30.841000000000001</v>
      </c>
      <c r="T9">
        <v>27.012</v>
      </c>
      <c r="U9">
        <f t="shared" si="6"/>
        <v>29.234666666666669</v>
      </c>
      <c r="V9">
        <f t="shared" si="7"/>
        <v>1.6227980637021835</v>
      </c>
    </row>
    <row r="10" spans="1:22">
      <c r="B10">
        <v>24</v>
      </c>
      <c r="C10">
        <v>3.089</v>
      </c>
      <c r="D10">
        <v>3.1659999999999999</v>
      </c>
      <c r="E10">
        <v>3.2440000000000002</v>
      </c>
      <c r="F10">
        <f t="shared" si="0"/>
        <v>3.1663333333333337</v>
      </c>
      <c r="G10">
        <f t="shared" si="1"/>
        <v>6.3278923997032652E-2</v>
      </c>
      <c r="H10">
        <v>26.850999999999999</v>
      </c>
      <c r="I10">
        <v>24.971</v>
      </c>
      <c r="J10">
        <v>25.061</v>
      </c>
      <c r="K10">
        <f t="shared" si="2"/>
        <v>25.62766666666667</v>
      </c>
      <c r="L10">
        <f t="shared" si="3"/>
        <v>0.86580726621010839</v>
      </c>
      <c r="M10">
        <v>26.981000000000002</v>
      </c>
      <c r="N10">
        <v>25.911999999999999</v>
      </c>
      <c r="O10">
        <v>26.129000000000001</v>
      </c>
      <c r="P10">
        <f t="shared" si="4"/>
        <v>26.340666666666667</v>
      </c>
      <c r="Q10">
        <f t="shared" si="5"/>
        <v>0.46136921825752131</v>
      </c>
      <c r="R10">
        <v>27.420999999999999</v>
      </c>
      <c r="S10">
        <v>26.584</v>
      </c>
      <c r="T10">
        <v>26.998000000000001</v>
      </c>
      <c r="U10">
        <f t="shared" si="6"/>
        <v>27.001000000000001</v>
      </c>
      <c r="V10">
        <f t="shared" si="7"/>
        <v>0.34171040370465738</v>
      </c>
    </row>
    <row r="11" spans="1:22">
      <c r="B11">
        <v>48</v>
      </c>
      <c r="C11">
        <v>3.1909999999999998</v>
      </c>
      <c r="D11">
        <v>3.4340000000000002</v>
      </c>
      <c r="E11">
        <v>3.121</v>
      </c>
      <c r="F11">
        <f t="shared" si="0"/>
        <v>3.2486666666666668</v>
      </c>
      <c r="G11">
        <f t="shared" si="1"/>
        <v>0.13413011924578652</v>
      </c>
      <c r="H11">
        <v>22.75</v>
      </c>
      <c r="I11">
        <v>21.84</v>
      </c>
      <c r="J11">
        <v>21.44</v>
      </c>
      <c r="K11">
        <f t="shared" si="2"/>
        <v>22.01</v>
      </c>
      <c r="L11">
        <f t="shared" si="3"/>
        <v>0.54814839839834084</v>
      </c>
      <c r="M11">
        <v>23.65</v>
      </c>
      <c r="N11">
        <v>26.43</v>
      </c>
      <c r="O11">
        <v>22.86</v>
      </c>
      <c r="P11">
        <f t="shared" si="4"/>
        <v>24.313333333333333</v>
      </c>
      <c r="Q11">
        <f t="shared" si="5"/>
        <v>1.53106353739992</v>
      </c>
      <c r="R11">
        <v>25.12</v>
      </c>
      <c r="S11">
        <v>24.16</v>
      </c>
      <c r="T11">
        <v>23.04</v>
      </c>
      <c r="U11">
        <f t="shared" si="6"/>
        <v>24.106666666666666</v>
      </c>
      <c r="V11">
        <f t="shared" si="7"/>
        <v>0.84999346402715958</v>
      </c>
    </row>
    <row r="12" spans="1:22">
      <c r="B12">
        <v>72</v>
      </c>
      <c r="C12">
        <v>2.91</v>
      </c>
      <c r="D12">
        <v>2.1859999999999999</v>
      </c>
      <c r="E12">
        <v>2.0110000000000001</v>
      </c>
      <c r="F12">
        <f t="shared" si="0"/>
        <v>2.3690000000000002</v>
      </c>
      <c r="G12">
        <f t="shared" si="1"/>
        <v>0.38915892212136943</v>
      </c>
      <c r="H12">
        <v>18.850999999999999</v>
      </c>
      <c r="I12">
        <v>18.009</v>
      </c>
      <c r="J12">
        <v>17.942</v>
      </c>
      <c r="K12">
        <f t="shared" si="2"/>
        <v>18.267333333333333</v>
      </c>
      <c r="L12">
        <f t="shared" si="3"/>
        <v>0.41362006183882705</v>
      </c>
      <c r="M12">
        <v>17.998000000000001</v>
      </c>
      <c r="N12">
        <v>16.003</v>
      </c>
      <c r="O12">
        <v>18.420000000000002</v>
      </c>
      <c r="P12">
        <f t="shared" si="4"/>
        <v>17.47366666666667</v>
      </c>
      <c r="Q12">
        <f t="shared" si="5"/>
        <v>1.0540924479801999</v>
      </c>
      <c r="R12">
        <v>16.094000000000001</v>
      </c>
      <c r="S12">
        <v>16.986000000000001</v>
      </c>
      <c r="T12">
        <v>17.056000000000001</v>
      </c>
      <c r="U12">
        <f t="shared" si="6"/>
        <v>16.712</v>
      </c>
      <c r="V12">
        <f t="shared" si="7"/>
        <v>0.43792541221841252</v>
      </c>
    </row>
    <row r="14" spans="1:22">
      <c r="F14">
        <f>F12/F4*100</f>
        <v>48.828581243558908</v>
      </c>
      <c r="K14">
        <f>K12/K4*100</f>
        <v>52.033801747056593</v>
      </c>
      <c r="P14">
        <f>P12/P4*100</f>
        <v>57.322033898305094</v>
      </c>
      <c r="U14">
        <f>U12/U4*100</f>
        <v>49.40967773726225</v>
      </c>
    </row>
    <row r="15" spans="1:22" ht="30">
      <c r="E15" s="13" t="s">
        <v>159</v>
      </c>
      <c r="F15">
        <f>100-F14</f>
        <v>51.171418756441092</v>
      </c>
      <c r="J15" s="13" t="s">
        <v>159</v>
      </c>
      <c r="K15">
        <f>100-K14</f>
        <v>47.966198252943407</v>
      </c>
      <c r="O15" s="13" t="s">
        <v>159</v>
      </c>
      <c r="P15">
        <f>100-P14</f>
        <v>42.677966101694906</v>
      </c>
      <c r="T15" s="13" t="s">
        <v>159</v>
      </c>
      <c r="U15">
        <f>100-U14</f>
        <v>50.59032226273775</v>
      </c>
    </row>
    <row r="16" spans="1:22">
      <c r="D16" s="1"/>
      <c r="E16" s="1"/>
      <c r="F16" s="1"/>
    </row>
    <row r="17" spans="4:6">
      <c r="D17" s="1"/>
      <c r="E17" s="83"/>
      <c r="F17" s="1"/>
    </row>
    <row r="18" spans="4:6">
      <c r="D18" s="1"/>
      <c r="E18" s="84"/>
      <c r="F18" s="1"/>
    </row>
    <row r="19" spans="4:6">
      <c r="D19" s="1"/>
      <c r="E19" s="84"/>
      <c r="F19" s="1"/>
    </row>
    <row r="20" spans="4:6">
      <c r="D20" s="1"/>
      <c r="E20" s="84"/>
      <c r="F20" s="1"/>
    </row>
    <row r="21" spans="4:6">
      <c r="D21" s="1"/>
      <c r="E21" s="1"/>
      <c r="F21" s="1"/>
    </row>
  </sheetData>
  <mergeCells count="8">
    <mergeCell ref="E17:E20"/>
    <mergeCell ref="C1:E1"/>
    <mergeCell ref="H1:J1"/>
    <mergeCell ref="M1:O1"/>
    <mergeCell ref="R1:T1"/>
    <mergeCell ref="C3:E3"/>
    <mergeCell ref="H3:J3"/>
    <mergeCell ref="M3:O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56"/>
  <sheetViews>
    <sheetView topLeftCell="A41" workbookViewId="0">
      <selection activeCell="K18" sqref="K18"/>
    </sheetView>
  </sheetViews>
  <sheetFormatPr baseColWidth="10" defaultRowHeight="15"/>
  <sheetData>
    <row r="1" spans="2:11">
      <c r="B1" s="85" t="s">
        <v>169</v>
      </c>
      <c r="C1" s="85"/>
      <c r="D1" s="85"/>
    </row>
    <row r="2" spans="2:11">
      <c r="J2" s="17" t="s">
        <v>92</v>
      </c>
      <c r="K2" s="56"/>
    </row>
    <row r="3" spans="2:11">
      <c r="J3" s="57" t="s">
        <v>28</v>
      </c>
      <c r="K3" s="61" t="s">
        <v>29</v>
      </c>
    </row>
    <row r="4" spans="2:11">
      <c r="C4" t="s">
        <v>49</v>
      </c>
      <c r="D4" t="s">
        <v>50</v>
      </c>
      <c r="E4" t="s">
        <v>51</v>
      </c>
      <c r="F4" t="s">
        <v>53</v>
      </c>
      <c r="G4" t="s">
        <v>54</v>
      </c>
      <c r="H4" t="s">
        <v>170</v>
      </c>
      <c r="J4" s="57">
        <v>17</v>
      </c>
      <c r="K4" s="58">
        <v>250</v>
      </c>
    </row>
    <row r="5" spans="2:11">
      <c r="B5">
        <v>1</v>
      </c>
      <c r="C5" s="5">
        <v>250</v>
      </c>
      <c r="D5" s="5">
        <v>31</v>
      </c>
      <c r="E5" s="5">
        <f t="shared" ref="E5:E36" si="0">D5*$K$5</f>
        <v>455.88235294117646</v>
      </c>
      <c r="F5" s="5">
        <f t="shared" ref="F5:F36" si="1">E5*$K$7</f>
        <v>39388235.294117644</v>
      </c>
      <c r="G5" s="5">
        <f t="shared" ref="G5:G36" si="2">F5*0.000001</f>
        <v>39.388235294117642</v>
      </c>
      <c r="H5" s="49">
        <f>E5/10000</f>
        <v>4.5588235294117645E-2</v>
      </c>
      <c r="J5" s="57">
        <v>1</v>
      </c>
      <c r="K5" s="58">
        <f>250/17</f>
        <v>14.705882352941176</v>
      </c>
    </row>
    <row r="6" spans="2:11">
      <c r="B6">
        <f>B5+1</f>
        <v>2</v>
      </c>
      <c r="C6" s="5">
        <v>310</v>
      </c>
      <c r="D6" s="5">
        <v>37</v>
      </c>
      <c r="E6" s="5">
        <f t="shared" si="0"/>
        <v>544.11764705882354</v>
      </c>
      <c r="F6" s="5">
        <f t="shared" si="1"/>
        <v>47011764.705882356</v>
      </c>
      <c r="G6" s="5">
        <f t="shared" si="2"/>
        <v>47.011764705882356</v>
      </c>
      <c r="H6" s="49">
        <f t="shared" ref="H6:H54" si="3">E6/10000</f>
        <v>5.4411764705882354E-2</v>
      </c>
      <c r="J6" s="57"/>
      <c r="K6" s="58"/>
    </row>
    <row r="7" spans="2:11">
      <c r="B7">
        <f t="shared" ref="B7:B54" si="4">B6+1</f>
        <v>3</v>
      </c>
      <c r="C7" s="5">
        <v>250</v>
      </c>
      <c r="D7" s="5">
        <v>30</v>
      </c>
      <c r="E7" s="5">
        <f t="shared" si="0"/>
        <v>441.17647058823525</v>
      </c>
      <c r="F7" s="5">
        <f t="shared" si="1"/>
        <v>38117647.058823526</v>
      </c>
      <c r="G7" s="5">
        <f t="shared" si="2"/>
        <v>38.117647058823522</v>
      </c>
      <c r="H7" s="49">
        <f t="shared" si="3"/>
        <v>4.4117647058823525E-2</v>
      </c>
      <c r="J7" s="57" t="s">
        <v>52</v>
      </c>
      <c r="K7" s="58">
        <f>60*60*24</f>
        <v>86400</v>
      </c>
    </row>
    <row r="8" spans="2:11">
      <c r="B8">
        <f t="shared" si="4"/>
        <v>4</v>
      </c>
      <c r="C8" s="5">
        <v>308</v>
      </c>
      <c r="D8" s="5">
        <v>52</v>
      </c>
      <c r="E8" s="5">
        <f t="shared" si="0"/>
        <v>764.7058823529411</v>
      </c>
      <c r="F8" s="5">
        <f t="shared" si="1"/>
        <v>66070588.235294111</v>
      </c>
      <c r="G8" s="5">
        <f t="shared" si="2"/>
        <v>66.07058823529411</v>
      </c>
      <c r="H8" s="49">
        <f t="shared" si="3"/>
        <v>7.647058823529411E-2</v>
      </c>
      <c r="J8" s="62" t="s">
        <v>29</v>
      </c>
      <c r="K8" s="60">
        <f>1000*10*100</f>
        <v>1000000</v>
      </c>
    </row>
    <row r="9" spans="2:11">
      <c r="B9">
        <f t="shared" si="4"/>
        <v>5</v>
      </c>
      <c r="C9" s="5">
        <v>100</v>
      </c>
      <c r="D9" s="5">
        <v>22</v>
      </c>
      <c r="E9" s="5">
        <f t="shared" si="0"/>
        <v>323.52941176470586</v>
      </c>
      <c r="F9" s="5">
        <f t="shared" si="1"/>
        <v>27952941.176470585</v>
      </c>
      <c r="G9" s="5">
        <f t="shared" si="2"/>
        <v>27.952941176470585</v>
      </c>
      <c r="H9" s="49">
        <f t="shared" si="3"/>
        <v>3.2352941176470584E-2</v>
      </c>
    </row>
    <row r="10" spans="2:11">
      <c r="B10">
        <f t="shared" si="4"/>
        <v>6</v>
      </c>
      <c r="C10" s="5">
        <v>380</v>
      </c>
      <c r="D10" s="5">
        <v>46</v>
      </c>
      <c r="E10" s="5">
        <f t="shared" si="0"/>
        <v>676.47058823529403</v>
      </c>
      <c r="F10" s="5">
        <f t="shared" si="1"/>
        <v>58447058.823529407</v>
      </c>
      <c r="G10" s="5">
        <f t="shared" si="2"/>
        <v>58.447058823529403</v>
      </c>
      <c r="H10" s="49">
        <f t="shared" si="3"/>
        <v>6.7647058823529407E-2</v>
      </c>
    </row>
    <row r="11" spans="2:11">
      <c r="B11">
        <f t="shared" si="4"/>
        <v>7</v>
      </c>
      <c r="C11" s="5">
        <v>200</v>
      </c>
      <c r="D11" s="5">
        <v>36</v>
      </c>
      <c r="E11" s="5">
        <f t="shared" si="0"/>
        <v>529.41176470588232</v>
      </c>
      <c r="F11" s="5">
        <f t="shared" si="1"/>
        <v>45741176.47058823</v>
      </c>
      <c r="G11" s="5">
        <f t="shared" si="2"/>
        <v>45.741176470588229</v>
      </c>
      <c r="H11" s="49">
        <f t="shared" si="3"/>
        <v>5.2941176470588235E-2</v>
      </c>
    </row>
    <row r="12" spans="2:11">
      <c r="B12">
        <f t="shared" si="4"/>
        <v>8</v>
      </c>
      <c r="C12" s="5">
        <v>118</v>
      </c>
      <c r="D12" s="5">
        <v>21</v>
      </c>
      <c r="E12" s="5">
        <f t="shared" si="0"/>
        <v>308.8235294117647</v>
      </c>
      <c r="F12" s="5">
        <f t="shared" si="1"/>
        <v>26682352.94117647</v>
      </c>
      <c r="G12" s="5">
        <f t="shared" si="2"/>
        <v>26.682352941176468</v>
      </c>
      <c r="H12" s="49">
        <f t="shared" si="3"/>
        <v>3.0882352941176468E-2</v>
      </c>
    </row>
    <row r="13" spans="2:11">
      <c r="B13">
        <f t="shared" si="4"/>
        <v>9</v>
      </c>
      <c r="C13" s="5">
        <v>107</v>
      </c>
      <c r="D13" s="5">
        <v>23</v>
      </c>
      <c r="E13" s="5">
        <f t="shared" si="0"/>
        <v>338.23529411764702</v>
      </c>
      <c r="F13" s="5">
        <f t="shared" si="1"/>
        <v>29223529.411764704</v>
      </c>
      <c r="G13" s="5">
        <f t="shared" si="2"/>
        <v>29.223529411764702</v>
      </c>
      <c r="H13" s="49">
        <f t="shared" si="3"/>
        <v>3.3823529411764704E-2</v>
      </c>
    </row>
    <row r="14" spans="2:11">
      <c r="B14">
        <f t="shared" si="4"/>
        <v>10</v>
      </c>
      <c r="C14" s="5">
        <v>305</v>
      </c>
      <c r="D14" s="5">
        <v>38</v>
      </c>
      <c r="E14" s="5">
        <f t="shared" si="0"/>
        <v>558.82352941176464</v>
      </c>
      <c r="F14" s="5">
        <f t="shared" si="1"/>
        <v>48282352.941176467</v>
      </c>
      <c r="G14" s="5">
        <f t="shared" si="2"/>
        <v>48.282352941176462</v>
      </c>
      <c r="H14" s="49">
        <f t="shared" si="3"/>
        <v>5.5882352941176466E-2</v>
      </c>
    </row>
    <row r="15" spans="2:11">
      <c r="B15">
        <f t="shared" si="4"/>
        <v>11</v>
      </c>
      <c r="C15" s="5">
        <v>517</v>
      </c>
      <c r="D15" s="5">
        <v>54</v>
      </c>
      <c r="E15" s="5">
        <f t="shared" si="0"/>
        <v>794.11764705882354</v>
      </c>
      <c r="F15" s="5">
        <f t="shared" si="1"/>
        <v>68611764.705882356</v>
      </c>
      <c r="G15" s="5">
        <f t="shared" si="2"/>
        <v>68.611764705882351</v>
      </c>
      <c r="H15" s="49">
        <f t="shared" si="3"/>
        <v>7.9411764705882348E-2</v>
      </c>
    </row>
    <row r="16" spans="2:11">
      <c r="B16">
        <f t="shared" si="4"/>
        <v>12</v>
      </c>
      <c r="C16" s="5">
        <v>640</v>
      </c>
      <c r="D16" s="5">
        <v>57</v>
      </c>
      <c r="E16" s="5">
        <f t="shared" si="0"/>
        <v>838.23529411764707</v>
      </c>
      <c r="F16" s="5">
        <f t="shared" si="1"/>
        <v>72423529.411764711</v>
      </c>
      <c r="G16" s="5">
        <f t="shared" si="2"/>
        <v>72.423529411764704</v>
      </c>
      <c r="H16" s="49">
        <f t="shared" si="3"/>
        <v>8.3823529411764713E-2</v>
      </c>
    </row>
    <row r="17" spans="2:8">
      <c r="B17">
        <f t="shared" si="4"/>
        <v>13</v>
      </c>
      <c r="C17" s="5">
        <v>1600</v>
      </c>
      <c r="D17" s="5">
        <v>81</v>
      </c>
      <c r="E17" s="5">
        <f t="shared" si="0"/>
        <v>1191.1764705882351</v>
      </c>
      <c r="F17" s="5">
        <f t="shared" si="1"/>
        <v>102917647.05882351</v>
      </c>
      <c r="G17" s="5">
        <f t="shared" si="2"/>
        <v>102.9176470588235</v>
      </c>
      <c r="H17" s="49">
        <f t="shared" si="3"/>
        <v>0.11911764705882351</v>
      </c>
    </row>
    <row r="18" spans="2:8">
      <c r="B18">
        <f t="shared" si="4"/>
        <v>14</v>
      </c>
      <c r="C18" s="5">
        <v>102</v>
      </c>
      <c r="D18" s="5">
        <v>18</v>
      </c>
      <c r="E18" s="5">
        <f t="shared" si="0"/>
        <v>264.70588235294116</v>
      </c>
      <c r="F18" s="5">
        <f t="shared" si="1"/>
        <v>22870588.235294115</v>
      </c>
      <c r="G18" s="5">
        <f t="shared" si="2"/>
        <v>22.870588235294115</v>
      </c>
      <c r="H18" s="49">
        <f t="shared" si="3"/>
        <v>2.6470588235294117E-2</v>
      </c>
    </row>
    <row r="19" spans="2:8">
      <c r="B19">
        <f t="shared" si="4"/>
        <v>15</v>
      </c>
      <c r="C19" s="5">
        <v>356</v>
      </c>
      <c r="D19" s="5">
        <v>41</v>
      </c>
      <c r="E19" s="5">
        <f t="shared" si="0"/>
        <v>602.94117647058818</v>
      </c>
      <c r="F19" s="5">
        <f t="shared" si="1"/>
        <v>52094117.647058815</v>
      </c>
      <c r="G19" s="5">
        <f t="shared" si="2"/>
        <v>52.094117647058809</v>
      </c>
      <c r="H19" s="49">
        <f t="shared" si="3"/>
        <v>6.0294117647058817E-2</v>
      </c>
    </row>
    <row r="20" spans="2:8">
      <c r="B20">
        <f t="shared" si="4"/>
        <v>16</v>
      </c>
      <c r="C20" s="5">
        <v>102</v>
      </c>
      <c r="D20" s="5">
        <v>24</v>
      </c>
      <c r="E20" s="5">
        <f t="shared" si="0"/>
        <v>352.94117647058823</v>
      </c>
      <c r="F20" s="5">
        <f t="shared" si="1"/>
        <v>30494117.647058822</v>
      </c>
      <c r="G20" s="5">
        <f t="shared" si="2"/>
        <v>30.494117647058822</v>
      </c>
      <c r="H20" s="49">
        <f t="shared" si="3"/>
        <v>3.5294117647058823E-2</v>
      </c>
    </row>
    <row r="21" spans="2:8">
      <c r="B21">
        <f t="shared" si="4"/>
        <v>17</v>
      </c>
      <c r="C21" s="5">
        <v>156</v>
      </c>
      <c r="D21" s="5">
        <v>28</v>
      </c>
      <c r="E21" s="5">
        <f t="shared" si="0"/>
        <v>411.76470588235293</v>
      </c>
      <c r="F21" s="5">
        <f t="shared" si="1"/>
        <v>35576470.588235296</v>
      </c>
      <c r="G21" s="5">
        <f t="shared" si="2"/>
        <v>35.576470588235296</v>
      </c>
      <c r="H21" s="49">
        <f t="shared" si="3"/>
        <v>4.1176470588235294E-2</v>
      </c>
    </row>
    <row r="22" spans="2:8">
      <c r="B22">
        <f t="shared" si="4"/>
        <v>18</v>
      </c>
      <c r="C22" s="5">
        <v>206</v>
      </c>
      <c r="D22" s="5">
        <v>34</v>
      </c>
      <c r="E22" s="5">
        <f t="shared" si="0"/>
        <v>500</v>
      </c>
      <c r="F22" s="5">
        <f t="shared" si="1"/>
        <v>43200000</v>
      </c>
      <c r="G22" s="5">
        <f t="shared" si="2"/>
        <v>43.199999999999996</v>
      </c>
      <c r="H22" s="49">
        <f t="shared" si="3"/>
        <v>0.05</v>
      </c>
    </row>
    <row r="23" spans="2:8">
      <c r="B23">
        <f t="shared" si="4"/>
        <v>19</v>
      </c>
      <c r="C23" s="5">
        <v>237</v>
      </c>
      <c r="D23" s="5">
        <v>37</v>
      </c>
      <c r="E23" s="5">
        <f t="shared" si="0"/>
        <v>544.11764705882354</v>
      </c>
      <c r="F23" s="5">
        <f t="shared" si="1"/>
        <v>47011764.705882356</v>
      </c>
      <c r="G23" s="5">
        <f t="shared" si="2"/>
        <v>47.011764705882356</v>
      </c>
      <c r="H23" s="49">
        <f t="shared" si="3"/>
        <v>5.4411764705882354E-2</v>
      </c>
    </row>
    <row r="24" spans="2:8">
      <c r="B24">
        <f t="shared" si="4"/>
        <v>20</v>
      </c>
      <c r="C24" s="5">
        <v>583</v>
      </c>
      <c r="D24" s="5">
        <v>45</v>
      </c>
      <c r="E24" s="5">
        <f t="shared" si="0"/>
        <v>661.76470588235293</v>
      </c>
      <c r="F24" s="5">
        <f t="shared" si="1"/>
        <v>57176470.588235296</v>
      </c>
      <c r="G24" s="5">
        <f t="shared" si="2"/>
        <v>57.176470588235297</v>
      </c>
      <c r="H24" s="49">
        <f t="shared" si="3"/>
        <v>6.6176470588235295E-2</v>
      </c>
    </row>
    <row r="25" spans="2:8">
      <c r="B25">
        <f t="shared" si="4"/>
        <v>21</v>
      </c>
      <c r="C25" s="5">
        <v>126</v>
      </c>
      <c r="D25" s="5">
        <v>19</v>
      </c>
      <c r="E25" s="5">
        <f t="shared" si="0"/>
        <v>279.41176470588232</v>
      </c>
      <c r="F25" s="5">
        <f t="shared" si="1"/>
        <v>24141176.470588233</v>
      </c>
      <c r="G25" s="5">
        <f t="shared" si="2"/>
        <v>24.141176470588231</v>
      </c>
      <c r="H25" s="49">
        <f t="shared" si="3"/>
        <v>2.7941176470588233E-2</v>
      </c>
    </row>
    <row r="26" spans="2:8">
      <c r="B26">
        <f t="shared" si="4"/>
        <v>22</v>
      </c>
      <c r="C26" s="5">
        <v>984</v>
      </c>
      <c r="D26" s="5">
        <v>56</v>
      </c>
      <c r="E26" s="5">
        <f t="shared" si="0"/>
        <v>823.52941176470586</v>
      </c>
      <c r="F26" s="5">
        <f t="shared" si="1"/>
        <v>71152941.176470593</v>
      </c>
      <c r="G26" s="5">
        <f t="shared" si="2"/>
        <v>71.152941176470591</v>
      </c>
      <c r="H26" s="49">
        <f t="shared" si="3"/>
        <v>8.2352941176470587E-2</v>
      </c>
    </row>
    <row r="27" spans="2:8">
      <c r="B27">
        <f t="shared" si="4"/>
        <v>23</v>
      </c>
      <c r="C27" s="5">
        <v>671</v>
      </c>
      <c r="D27" s="5">
        <v>54</v>
      </c>
      <c r="E27" s="5">
        <f t="shared" si="0"/>
        <v>794.11764705882354</v>
      </c>
      <c r="F27" s="5">
        <f t="shared" si="1"/>
        <v>68611764.705882356</v>
      </c>
      <c r="G27" s="5">
        <f t="shared" si="2"/>
        <v>68.611764705882351</v>
      </c>
      <c r="H27" s="49">
        <f t="shared" si="3"/>
        <v>7.9411764705882348E-2</v>
      </c>
    </row>
    <row r="28" spans="2:8">
      <c r="B28">
        <f t="shared" si="4"/>
        <v>24</v>
      </c>
      <c r="C28" s="5">
        <v>165</v>
      </c>
      <c r="D28" s="5">
        <v>19</v>
      </c>
      <c r="E28" s="5">
        <f t="shared" si="0"/>
        <v>279.41176470588232</v>
      </c>
      <c r="F28" s="5">
        <f t="shared" si="1"/>
        <v>24141176.470588233</v>
      </c>
      <c r="G28" s="5">
        <f t="shared" si="2"/>
        <v>24.141176470588231</v>
      </c>
      <c r="H28" s="49">
        <f t="shared" si="3"/>
        <v>2.7941176470588233E-2</v>
      </c>
    </row>
    <row r="29" spans="2:8">
      <c r="B29">
        <f t="shared" si="4"/>
        <v>25</v>
      </c>
      <c r="C29" s="5">
        <v>279</v>
      </c>
      <c r="D29" s="5">
        <v>36</v>
      </c>
      <c r="E29" s="5">
        <f t="shared" si="0"/>
        <v>529.41176470588232</v>
      </c>
      <c r="F29" s="5">
        <f t="shared" si="1"/>
        <v>45741176.47058823</v>
      </c>
      <c r="G29" s="5">
        <f t="shared" si="2"/>
        <v>45.741176470588229</v>
      </c>
      <c r="H29" s="49">
        <f t="shared" si="3"/>
        <v>5.2941176470588235E-2</v>
      </c>
    </row>
    <row r="30" spans="2:8">
      <c r="B30">
        <f t="shared" si="4"/>
        <v>26</v>
      </c>
      <c r="C30" s="5">
        <v>1208</v>
      </c>
      <c r="D30" s="5">
        <v>67</v>
      </c>
      <c r="E30" s="5">
        <f t="shared" si="0"/>
        <v>985.29411764705878</v>
      </c>
      <c r="F30" s="5">
        <f t="shared" si="1"/>
        <v>85129411.764705881</v>
      </c>
      <c r="G30" s="5">
        <f t="shared" si="2"/>
        <v>85.129411764705878</v>
      </c>
      <c r="H30" s="49">
        <f t="shared" si="3"/>
        <v>9.8529411764705879E-2</v>
      </c>
    </row>
    <row r="31" spans="2:8">
      <c r="B31">
        <f t="shared" si="4"/>
        <v>27</v>
      </c>
      <c r="C31" s="5">
        <v>1014</v>
      </c>
      <c r="D31" s="5">
        <v>59</v>
      </c>
      <c r="E31" s="5">
        <f t="shared" si="0"/>
        <v>867.64705882352939</v>
      </c>
      <c r="F31" s="5">
        <f t="shared" si="1"/>
        <v>74964705.882352933</v>
      </c>
      <c r="G31" s="5">
        <f t="shared" si="2"/>
        <v>74.964705882352931</v>
      </c>
      <c r="H31" s="49">
        <f t="shared" si="3"/>
        <v>8.6764705882352938E-2</v>
      </c>
    </row>
    <row r="32" spans="2:8">
      <c r="B32">
        <f t="shared" si="4"/>
        <v>28</v>
      </c>
      <c r="C32" s="5">
        <v>371</v>
      </c>
      <c r="D32" s="5">
        <v>38</v>
      </c>
      <c r="E32" s="5">
        <f t="shared" si="0"/>
        <v>558.82352941176464</v>
      </c>
      <c r="F32" s="5">
        <f t="shared" si="1"/>
        <v>48282352.941176467</v>
      </c>
      <c r="G32" s="5">
        <f t="shared" si="2"/>
        <v>48.282352941176462</v>
      </c>
      <c r="H32" s="49">
        <f t="shared" si="3"/>
        <v>5.5882352941176466E-2</v>
      </c>
    </row>
    <row r="33" spans="2:8">
      <c r="B33">
        <f t="shared" si="4"/>
        <v>29</v>
      </c>
      <c r="C33" s="5">
        <v>481</v>
      </c>
      <c r="D33" s="5">
        <v>40</v>
      </c>
      <c r="E33" s="5">
        <f t="shared" si="0"/>
        <v>588.23529411764707</v>
      </c>
      <c r="F33" s="5">
        <f t="shared" si="1"/>
        <v>50823529.411764704</v>
      </c>
      <c r="G33" s="5">
        <f t="shared" si="2"/>
        <v>50.823529411764703</v>
      </c>
      <c r="H33" s="49">
        <f t="shared" si="3"/>
        <v>5.8823529411764705E-2</v>
      </c>
    </row>
    <row r="34" spans="2:8">
      <c r="B34">
        <f t="shared" si="4"/>
        <v>30</v>
      </c>
      <c r="C34" s="5">
        <v>196</v>
      </c>
      <c r="D34" s="5">
        <v>32</v>
      </c>
      <c r="E34" s="5">
        <f t="shared" si="0"/>
        <v>470.58823529411762</v>
      </c>
      <c r="F34" s="5">
        <f t="shared" si="1"/>
        <v>40658823.529411763</v>
      </c>
      <c r="G34" s="5">
        <f t="shared" si="2"/>
        <v>40.658823529411762</v>
      </c>
      <c r="H34" s="49">
        <f t="shared" si="3"/>
        <v>4.7058823529411764E-2</v>
      </c>
    </row>
    <row r="35" spans="2:8">
      <c r="B35">
        <f t="shared" si="4"/>
        <v>31</v>
      </c>
      <c r="C35" s="5">
        <v>146</v>
      </c>
      <c r="D35" s="5">
        <v>28</v>
      </c>
      <c r="E35" s="5">
        <f t="shared" si="0"/>
        <v>411.76470588235293</v>
      </c>
      <c r="F35" s="5">
        <f t="shared" si="1"/>
        <v>35576470.588235296</v>
      </c>
      <c r="G35" s="5">
        <f t="shared" si="2"/>
        <v>35.576470588235296</v>
      </c>
      <c r="H35" s="49">
        <f t="shared" si="3"/>
        <v>4.1176470588235294E-2</v>
      </c>
    </row>
    <row r="36" spans="2:8">
      <c r="B36">
        <f t="shared" si="4"/>
        <v>32</v>
      </c>
      <c r="C36" s="5">
        <v>725</v>
      </c>
      <c r="D36" s="5">
        <v>57</v>
      </c>
      <c r="E36" s="5">
        <f t="shared" si="0"/>
        <v>838.23529411764707</v>
      </c>
      <c r="F36" s="5">
        <f t="shared" si="1"/>
        <v>72423529.411764711</v>
      </c>
      <c r="G36" s="5">
        <f t="shared" si="2"/>
        <v>72.423529411764704</v>
      </c>
      <c r="H36" s="49">
        <f t="shared" si="3"/>
        <v>8.3823529411764713E-2</v>
      </c>
    </row>
    <row r="37" spans="2:8">
      <c r="B37">
        <f t="shared" si="4"/>
        <v>33</v>
      </c>
      <c r="C37" s="5">
        <v>991</v>
      </c>
      <c r="D37" s="5">
        <v>55</v>
      </c>
      <c r="E37" s="5">
        <f t="shared" ref="E37:E54" si="5">D37*$K$5</f>
        <v>808.82352941176464</v>
      </c>
      <c r="F37" s="5">
        <f t="shared" ref="F37:F54" si="6">E37*$K$7</f>
        <v>69882352.941176459</v>
      </c>
      <c r="G37" s="5">
        <f t="shared" ref="G37:G54" si="7">F37*0.000001</f>
        <v>69.88235294117645</v>
      </c>
      <c r="H37" s="49">
        <f t="shared" si="3"/>
        <v>8.0882352941176461E-2</v>
      </c>
    </row>
    <row r="38" spans="2:8">
      <c r="B38">
        <f t="shared" si="4"/>
        <v>34</v>
      </c>
      <c r="C38" s="5">
        <v>274</v>
      </c>
      <c r="D38" s="5">
        <v>25</v>
      </c>
      <c r="E38" s="5">
        <f t="shared" si="5"/>
        <v>367.64705882352939</v>
      </c>
      <c r="F38" s="5">
        <f t="shared" si="6"/>
        <v>31764705.882352941</v>
      </c>
      <c r="G38" s="5">
        <f t="shared" si="7"/>
        <v>31.764705882352938</v>
      </c>
      <c r="H38" s="49">
        <f t="shared" si="3"/>
        <v>3.6764705882352942E-2</v>
      </c>
    </row>
    <row r="39" spans="2:8">
      <c r="B39">
        <f t="shared" si="4"/>
        <v>35</v>
      </c>
      <c r="C39" s="5">
        <v>174</v>
      </c>
      <c r="D39" s="5">
        <v>21</v>
      </c>
      <c r="E39" s="5">
        <f t="shared" si="5"/>
        <v>308.8235294117647</v>
      </c>
      <c r="F39" s="5">
        <f t="shared" si="6"/>
        <v>26682352.94117647</v>
      </c>
      <c r="G39" s="5">
        <f t="shared" si="7"/>
        <v>26.682352941176468</v>
      </c>
      <c r="H39" s="49">
        <f t="shared" si="3"/>
        <v>3.0882352941176468E-2</v>
      </c>
    </row>
    <row r="40" spans="2:8">
      <c r="B40">
        <f t="shared" si="4"/>
        <v>36</v>
      </c>
      <c r="C40" s="5">
        <v>185</v>
      </c>
      <c r="D40" s="5">
        <v>20</v>
      </c>
      <c r="E40" s="5">
        <f t="shared" si="5"/>
        <v>294.11764705882354</v>
      </c>
      <c r="F40" s="5">
        <f t="shared" si="6"/>
        <v>25411764.705882352</v>
      </c>
      <c r="G40" s="5">
        <f t="shared" si="7"/>
        <v>25.411764705882351</v>
      </c>
      <c r="H40" s="49">
        <f t="shared" si="3"/>
        <v>2.9411764705882353E-2</v>
      </c>
    </row>
    <row r="41" spans="2:8">
      <c r="B41">
        <f t="shared" si="4"/>
        <v>37</v>
      </c>
      <c r="C41" s="5">
        <v>559</v>
      </c>
      <c r="D41" s="5">
        <v>55</v>
      </c>
      <c r="E41" s="5">
        <f t="shared" si="5"/>
        <v>808.82352941176464</v>
      </c>
      <c r="F41" s="5">
        <f t="shared" si="6"/>
        <v>69882352.941176459</v>
      </c>
      <c r="G41" s="5">
        <f t="shared" si="7"/>
        <v>69.88235294117645</v>
      </c>
      <c r="H41" s="49">
        <f t="shared" si="3"/>
        <v>8.0882352941176461E-2</v>
      </c>
    </row>
    <row r="42" spans="2:8">
      <c r="B42">
        <f t="shared" si="4"/>
        <v>38</v>
      </c>
      <c r="C42" s="5">
        <v>863</v>
      </c>
      <c r="D42" s="5">
        <v>59</v>
      </c>
      <c r="E42" s="5">
        <f t="shared" si="5"/>
        <v>867.64705882352939</v>
      </c>
      <c r="F42" s="5">
        <f t="shared" si="6"/>
        <v>74964705.882352933</v>
      </c>
      <c r="G42" s="5">
        <f t="shared" si="7"/>
        <v>74.964705882352931</v>
      </c>
      <c r="H42" s="49">
        <f t="shared" si="3"/>
        <v>8.6764705882352938E-2</v>
      </c>
    </row>
    <row r="43" spans="2:8">
      <c r="B43">
        <f t="shared" si="4"/>
        <v>39</v>
      </c>
      <c r="C43" s="5">
        <v>1050</v>
      </c>
      <c r="D43" s="5">
        <v>64</v>
      </c>
      <c r="E43" s="5">
        <f t="shared" si="5"/>
        <v>941.17647058823525</v>
      </c>
      <c r="F43" s="5">
        <f t="shared" si="6"/>
        <v>81317647.058823526</v>
      </c>
      <c r="G43" s="5">
        <f t="shared" si="7"/>
        <v>81.317647058823525</v>
      </c>
      <c r="H43" s="49">
        <f t="shared" si="3"/>
        <v>9.4117647058823528E-2</v>
      </c>
    </row>
    <row r="44" spans="2:8">
      <c r="B44">
        <f t="shared" si="4"/>
        <v>40</v>
      </c>
      <c r="C44" s="5">
        <v>3195</v>
      </c>
      <c r="D44" s="5">
        <v>69</v>
      </c>
      <c r="E44" s="5">
        <f t="shared" si="5"/>
        <v>1014.7058823529411</v>
      </c>
      <c r="F44" s="5">
        <f t="shared" si="6"/>
        <v>87670588.235294119</v>
      </c>
      <c r="G44" s="5">
        <f t="shared" si="7"/>
        <v>87.670588235294119</v>
      </c>
      <c r="H44" s="49">
        <f t="shared" si="3"/>
        <v>0.1014705882352941</v>
      </c>
    </row>
    <row r="45" spans="2:8">
      <c r="B45">
        <f t="shared" si="4"/>
        <v>41</v>
      </c>
      <c r="C45" s="5">
        <v>409</v>
      </c>
      <c r="D45" s="5">
        <v>39</v>
      </c>
      <c r="E45" s="5">
        <f t="shared" si="5"/>
        <v>573.52941176470586</v>
      </c>
      <c r="F45" s="5">
        <f t="shared" si="6"/>
        <v>49552941.176470585</v>
      </c>
      <c r="G45" s="5">
        <f t="shared" si="7"/>
        <v>49.552941176470583</v>
      </c>
      <c r="H45" s="49">
        <f t="shared" si="3"/>
        <v>5.7352941176470586E-2</v>
      </c>
    </row>
    <row r="46" spans="2:8">
      <c r="B46">
        <f t="shared" si="4"/>
        <v>42</v>
      </c>
      <c r="C46" s="5">
        <v>1965</v>
      </c>
      <c r="D46" s="5">
        <v>71</v>
      </c>
      <c r="E46" s="5">
        <f t="shared" si="5"/>
        <v>1044.1176470588234</v>
      </c>
      <c r="F46" s="5">
        <f t="shared" si="6"/>
        <v>90211764.705882341</v>
      </c>
      <c r="G46" s="5">
        <f t="shared" si="7"/>
        <v>90.211764705882331</v>
      </c>
      <c r="H46" s="49">
        <f t="shared" si="3"/>
        <v>0.10441176470588234</v>
      </c>
    </row>
    <row r="47" spans="2:8">
      <c r="B47">
        <f t="shared" si="4"/>
        <v>43</v>
      </c>
      <c r="C47" s="5">
        <v>2705</v>
      </c>
      <c r="D47" s="5">
        <v>74</v>
      </c>
      <c r="E47" s="5">
        <f t="shared" si="5"/>
        <v>1088.2352941176471</v>
      </c>
      <c r="F47" s="5">
        <f t="shared" si="6"/>
        <v>94023529.411764711</v>
      </c>
      <c r="G47" s="5">
        <f t="shared" si="7"/>
        <v>94.023529411764713</v>
      </c>
      <c r="H47" s="49">
        <f t="shared" si="3"/>
        <v>0.10882352941176471</v>
      </c>
    </row>
    <row r="48" spans="2:8">
      <c r="B48">
        <f t="shared" si="4"/>
        <v>44</v>
      </c>
      <c r="C48" s="5">
        <v>295</v>
      </c>
      <c r="D48" s="5">
        <v>23</v>
      </c>
      <c r="E48" s="5">
        <f t="shared" si="5"/>
        <v>338.23529411764702</v>
      </c>
      <c r="F48" s="5">
        <f t="shared" si="6"/>
        <v>29223529.411764704</v>
      </c>
      <c r="G48" s="5">
        <f t="shared" si="7"/>
        <v>29.223529411764702</v>
      </c>
      <c r="H48" s="49">
        <f t="shared" si="3"/>
        <v>3.3823529411764704E-2</v>
      </c>
    </row>
    <row r="49" spans="2:8">
      <c r="B49">
        <f t="shared" si="4"/>
        <v>45</v>
      </c>
      <c r="C49" s="5">
        <v>694</v>
      </c>
      <c r="D49" s="5">
        <v>58</v>
      </c>
      <c r="E49" s="5">
        <f t="shared" si="5"/>
        <v>852.94117647058818</v>
      </c>
      <c r="F49" s="5">
        <f t="shared" si="6"/>
        <v>73694117.647058815</v>
      </c>
      <c r="G49" s="5">
        <f t="shared" si="7"/>
        <v>73.694117647058818</v>
      </c>
      <c r="H49" s="49">
        <f t="shared" si="3"/>
        <v>8.5294117647058812E-2</v>
      </c>
    </row>
    <row r="50" spans="2:8">
      <c r="B50">
        <f t="shared" si="4"/>
        <v>46</v>
      </c>
      <c r="C50" s="5">
        <v>571</v>
      </c>
      <c r="D50" s="5">
        <v>47</v>
      </c>
      <c r="E50" s="5">
        <f t="shared" si="5"/>
        <v>691.17647058823525</v>
      </c>
      <c r="F50" s="5">
        <f t="shared" si="6"/>
        <v>59717647.058823526</v>
      </c>
      <c r="G50" s="5">
        <f t="shared" si="7"/>
        <v>59.717647058823523</v>
      </c>
      <c r="H50" s="49">
        <f t="shared" si="3"/>
        <v>6.911764705882352E-2</v>
      </c>
    </row>
    <row r="51" spans="2:8">
      <c r="B51">
        <f t="shared" si="4"/>
        <v>47</v>
      </c>
      <c r="C51" s="5">
        <v>152</v>
      </c>
      <c r="D51" s="5">
        <v>23</v>
      </c>
      <c r="E51" s="5">
        <f t="shared" si="5"/>
        <v>338.23529411764702</v>
      </c>
      <c r="F51" s="5">
        <f t="shared" si="6"/>
        <v>29223529.411764704</v>
      </c>
      <c r="G51" s="5">
        <f t="shared" si="7"/>
        <v>29.223529411764702</v>
      </c>
      <c r="H51" s="49">
        <f t="shared" si="3"/>
        <v>3.3823529411764704E-2</v>
      </c>
    </row>
    <row r="52" spans="2:8">
      <c r="B52">
        <f t="shared" si="4"/>
        <v>48</v>
      </c>
      <c r="C52" s="5">
        <v>196</v>
      </c>
      <c r="D52" s="5">
        <v>25</v>
      </c>
      <c r="E52" s="5">
        <f t="shared" si="5"/>
        <v>367.64705882352939</v>
      </c>
      <c r="F52" s="5">
        <f t="shared" si="6"/>
        <v>31764705.882352941</v>
      </c>
      <c r="G52" s="5">
        <f t="shared" si="7"/>
        <v>31.764705882352938</v>
      </c>
      <c r="H52" s="49">
        <f t="shared" si="3"/>
        <v>3.6764705882352942E-2</v>
      </c>
    </row>
    <row r="53" spans="2:8">
      <c r="B53">
        <f t="shared" si="4"/>
        <v>49</v>
      </c>
      <c r="C53" s="5">
        <v>4951</v>
      </c>
      <c r="D53" s="5">
        <v>79</v>
      </c>
      <c r="E53" s="5">
        <f t="shared" si="5"/>
        <v>1161.7647058823529</v>
      </c>
      <c r="F53" s="5">
        <f t="shared" si="6"/>
        <v>100376470.58823529</v>
      </c>
      <c r="G53" s="5">
        <f t="shared" si="7"/>
        <v>100.37647058823528</v>
      </c>
      <c r="H53" s="49">
        <f t="shared" si="3"/>
        <v>0.1161764705882353</v>
      </c>
    </row>
    <row r="54" spans="2:8">
      <c r="B54">
        <f t="shared" si="4"/>
        <v>50</v>
      </c>
      <c r="C54" s="5">
        <v>831</v>
      </c>
      <c r="D54" s="5">
        <v>36</v>
      </c>
      <c r="E54" s="5">
        <f t="shared" si="5"/>
        <v>529.41176470588232</v>
      </c>
      <c r="F54" s="5">
        <f t="shared" si="6"/>
        <v>45741176.47058823</v>
      </c>
      <c r="G54" s="5">
        <f t="shared" si="7"/>
        <v>45.741176470588229</v>
      </c>
      <c r="H54" s="49">
        <f t="shared" si="3"/>
        <v>5.2941176470588235E-2</v>
      </c>
    </row>
    <row r="55" spans="2:8">
      <c r="B55" t="s">
        <v>26</v>
      </c>
      <c r="C55" s="5">
        <f>AVERAGE(C5:C54)</f>
        <v>665.06</v>
      </c>
      <c r="D55" s="5">
        <f t="shared" ref="D55:H55" si="8">AVERAGE(D5:D54)</f>
        <v>42.06</v>
      </c>
      <c r="E55" s="5">
        <f t="shared" si="8"/>
        <v>618.52941176470586</v>
      </c>
      <c r="F55" s="5">
        <f t="shared" si="8"/>
        <v>53440941.176470563</v>
      </c>
      <c r="G55" s="6">
        <f t="shared" si="8"/>
        <v>53.44094117647056</v>
      </c>
      <c r="H55" s="6">
        <f t="shared" si="8"/>
        <v>6.185294117647059E-2</v>
      </c>
    </row>
    <row r="56" spans="2:8">
      <c r="B56" t="s">
        <v>113</v>
      </c>
      <c r="C56">
        <f>_xlfn.STDEV.S(C5:C54)</f>
        <v>884.51751889066043</v>
      </c>
      <c r="D56">
        <f t="shared" ref="D56:H56" si="9">_xlfn.STDEV.S(D5:D54)</f>
        <v>17.646656618065602</v>
      </c>
      <c r="E56">
        <f t="shared" si="9"/>
        <v>259.50965614802323</v>
      </c>
      <c r="F56">
        <f t="shared" si="9"/>
        <v>22421634.291189283</v>
      </c>
      <c r="G56">
        <f t="shared" si="9"/>
        <v>22.421634291189303</v>
      </c>
      <c r="H56">
        <f t="shared" si="9"/>
        <v>2.5950965614802337E-2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55824-5200-9C4E-90B8-9FB0D8133E7F}">
  <dimension ref="A1:H9"/>
  <sheetViews>
    <sheetView tabSelected="1" workbookViewId="0">
      <selection sqref="A1:G9"/>
    </sheetView>
  </sheetViews>
  <sheetFormatPr baseColWidth="10" defaultRowHeight="15"/>
  <cols>
    <col min="3" max="3" width="11.83203125" customWidth="1"/>
    <col min="5" max="5" width="12.1640625" customWidth="1"/>
    <col min="6" max="6" width="11.6640625" customWidth="1"/>
    <col min="7" max="7" width="67.6640625" customWidth="1"/>
    <col min="8" max="8" width="13" customWidth="1"/>
  </cols>
  <sheetData>
    <row r="1" spans="1:8" ht="16">
      <c r="A1" s="63" t="s">
        <v>102</v>
      </c>
      <c r="B1" s="64" t="s">
        <v>12</v>
      </c>
      <c r="C1" s="69" t="s">
        <v>187</v>
      </c>
      <c r="D1" s="69"/>
      <c r="E1" s="69"/>
      <c r="F1" s="69"/>
      <c r="G1" s="65" t="s">
        <v>188</v>
      </c>
      <c r="H1" s="66" t="s">
        <v>189</v>
      </c>
    </row>
    <row r="2" spans="1:8" ht="16">
      <c r="A2" s="51"/>
      <c r="B2" s="54"/>
      <c r="C2" s="70" t="s">
        <v>190</v>
      </c>
      <c r="D2" s="71"/>
      <c r="E2" s="70" t="s">
        <v>191</v>
      </c>
      <c r="F2" s="71"/>
      <c r="G2" s="67"/>
      <c r="H2" s="53" t="s">
        <v>198</v>
      </c>
    </row>
    <row r="3" spans="1:8">
      <c r="A3" s="51"/>
      <c r="B3" s="54"/>
      <c r="C3" s="54" t="s">
        <v>192</v>
      </c>
      <c r="D3" s="54" t="s">
        <v>193</v>
      </c>
      <c r="E3" s="54" t="s">
        <v>192</v>
      </c>
      <c r="F3" s="54" t="s">
        <v>193</v>
      </c>
      <c r="G3" s="67"/>
    </row>
    <row r="4" spans="1:8" ht="30">
      <c r="A4" s="51">
        <v>1</v>
      </c>
      <c r="B4" s="54" t="s">
        <v>0</v>
      </c>
      <c r="C4" s="54" t="s">
        <v>194</v>
      </c>
      <c r="D4" s="54" t="s">
        <v>194</v>
      </c>
      <c r="E4" s="54" t="s">
        <v>194</v>
      </c>
      <c r="F4" s="54" t="s">
        <v>194</v>
      </c>
      <c r="G4" s="67" t="s">
        <v>197</v>
      </c>
      <c r="H4" s="66"/>
    </row>
    <row r="5" spans="1:8" ht="30">
      <c r="A5" s="51">
        <v>2</v>
      </c>
      <c r="B5" s="54" t="s">
        <v>13</v>
      </c>
      <c r="C5" s="54" t="s">
        <v>194</v>
      </c>
      <c r="D5" s="54" t="s">
        <v>195</v>
      </c>
      <c r="E5" s="54" t="s">
        <v>194</v>
      </c>
      <c r="F5" s="54" t="s">
        <v>195</v>
      </c>
      <c r="G5" s="67" t="s">
        <v>201</v>
      </c>
      <c r="H5" s="66"/>
    </row>
    <row r="6" spans="1:8" ht="45">
      <c r="A6" s="51">
        <v>3</v>
      </c>
      <c r="B6" s="54" t="s">
        <v>4</v>
      </c>
      <c r="C6" s="54" t="s">
        <v>194</v>
      </c>
      <c r="D6" s="54" t="s">
        <v>196</v>
      </c>
      <c r="E6" s="54" t="s">
        <v>194</v>
      </c>
      <c r="F6" s="54" t="s">
        <v>194</v>
      </c>
      <c r="G6" s="67" t="s">
        <v>199</v>
      </c>
    </row>
    <row r="7" spans="1:8" ht="30">
      <c r="A7" s="51">
        <v>4</v>
      </c>
      <c r="B7" s="54" t="s">
        <v>5</v>
      </c>
      <c r="C7" s="54" t="s">
        <v>194</v>
      </c>
      <c r="D7" s="54" t="s">
        <v>194</v>
      </c>
      <c r="E7" s="54" t="s">
        <v>194</v>
      </c>
      <c r="F7" s="54" t="s">
        <v>194</v>
      </c>
      <c r="G7" s="67" t="s">
        <v>202</v>
      </c>
    </row>
    <row r="8" spans="1:8" ht="30">
      <c r="A8" s="51">
        <v>5</v>
      </c>
      <c r="B8" s="54" t="s">
        <v>13</v>
      </c>
      <c r="C8" s="54" t="s">
        <v>194</v>
      </c>
      <c r="D8" s="54" t="s">
        <v>194</v>
      </c>
      <c r="E8" s="54" t="s">
        <v>194</v>
      </c>
      <c r="F8" s="54" t="s">
        <v>194</v>
      </c>
      <c r="G8" s="67" t="s">
        <v>200</v>
      </c>
    </row>
    <row r="9" spans="1:8" ht="30">
      <c r="A9" s="52">
        <v>6</v>
      </c>
      <c r="B9" s="16" t="s">
        <v>18</v>
      </c>
      <c r="C9" s="16" t="s">
        <v>194</v>
      </c>
      <c r="D9" s="16" t="s">
        <v>194</v>
      </c>
      <c r="E9" s="16" t="s">
        <v>194</v>
      </c>
      <c r="F9" s="16" t="s">
        <v>194</v>
      </c>
      <c r="G9" s="68" t="s">
        <v>203</v>
      </c>
    </row>
  </sheetData>
  <mergeCells count="3">
    <mergeCell ref="C1:F1"/>
    <mergeCell ref="C2:D2"/>
    <mergeCell ref="E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K55"/>
  <sheetViews>
    <sheetView workbookViewId="0">
      <selection activeCell="B1" sqref="B1:C1"/>
    </sheetView>
  </sheetViews>
  <sheetFormatPr baseColWidth="10" defaultRowHeight="15"/>
  <sheetData>
    <row r="1" spans="2:11">
      <c r="B1" s="85" t="s">
        <v>185</v>
      </c>
      <c r="C1" s="85"/>
      <c r="D1" s="3"/>
    </row>
    <row r="3" spans="2:11">
      <c r="C3" t="s">
        <v>49</v>
      </c>
      <c r="D3" t="s">
        <v>50</v>
      </c>
      <c r="E3" t="s">
        <v>51</v>
      </c>
      <c r="F3" t="s">
        <v>53</v>
      </c>
      <c r="G3" t="s">
        <v>54</v>
      </c>
      <c r="H3" t="s">
        <v>170</v>
      </c>
      <c r="J3" s="55" t="s">
        <v>73</v>
      </c>
      <c r="K3" s="56"/>
    </row>
    <row r="4" spans="2:11">
      <c r="B4">
        <v>1</v>
      </c>
      <c r="C4" s="5">
        <f>66*$K$5</f>
        <v>916.66666666666674</v>
      </c>
      <c r="D4" s="5">
        <f>336/3</f>
        <v>112</v>
      </c>
      <c r="E4" s="5">
        <f t="shared" ref="E4:E35" si="0">D4*$K$5</f>
        <v>1555.5555555555557</v>
      </c>
      <c r="F4" s="5">
        <f>'Settling velocity set-up 3'!E4*86400</f>
        <v>134400000</v>
      </c>
      <c r="G4" s="5">
        <f>F4*0.000001</f>
        <v>134.4</v>
      </c>
      <c r="H4">
        <f>E4/10000</f>
        <v>0.15555555555555556</v>
      </c>
      <c r="J4" s="57">
        <v>18</v>
      </c>
      <c r="K4" s="58">
        <v>250</v>
      </c>
    </row>
    <row r="5" spans="2:11">
      <c r="B5">
        <f>B4+1</f>
        <v>2</v>
      </c>
      <c r="C5" s="5">
        <v>246</v>
      </c>
      <c r="D5" s="5">
        <f>334/4</f>
        <v>83.5</v>
      </c>
      <c r="E5" s="5">
        <f t="shared" si="0"/>
        <v>1159.7222222222222</v>
      </c>
      <c r="F5" s="5">
        <f>'Settling velocity set-up 3'!E5*86400</f>
        <v>100200000</v>
      </c>
      <c r="G5" s="5">
        <f>F5*0.000001</f>
        <v>100.19999999999999</v>
      </c>
      <c r="H5">
        <f t="shared" ref="H5:H53" si="1">E5/10000</f>
        <v>0.11597222222222221</v>
      </c>
      <c r="J5" s="59">
        <v>1</v>
      </c>
      <c r="K5" s="60">
        <f>K4/18</f>
        <v>13.888888888888889</v>
      </c>
    </row>
    <row r="6" spans="2:11">
      <c r="B6">
        <f t="shared" ref="B6:B53" si="2">B5+1</f>
        <v>3</v>
      </c>
      <c r="C6" s="5">
        <f>57*K5</f>
        <v>791.66666666666674</v>
      </c>
      <c r="D6" s="5">
        <v>106</v>
      </c>
      <c r="E6" s="5">
        <f t="shared" si="0"/>
        <v>1472.2222222222222</v>
      </c>
      <c r="F6" s="5">
        <f>'Settling velocity set-up 3'!E6*86400</f>
        <v>127200000</v>
      </c>
      <c r="G6" s="5">
        <f>F6*0.000001</f>
        <v>127.19999999999999</v>
      </c>
      <c r="H6">
        <f t="shared" si="1"/>
        <v>0.14722222222222223</v>
      </c>
    </row>
    <row r="7" spans="2:11">
      <c r="B7">
        <f t="shared" si="2"/>
        <v>4</v>
      </c>
      <c r="C7" s="5">
        <v>168</v>
      </c>
      <c r="D7" s="5">
        <v>97</v>
      </c>
      <c r="E7" s="5">
        <f t="shared" si="0"/>
        <v>1347.2222222222222</v>
      </c>
      <c r="F7" s="5">
        <f>'Settling velocity set-up 3'!E7*86400</f>
        <v>116400000</v>
      </c>
      <c r="G7" s="5">
        <f t="shared" ref="G7:G20" si="3">F7*0.000001</f>
        <v>116.39999999999999</v>
      </c>
      <c r="H7">
        <f t="shared" si="1"/>
        <v>0.13472222222222222</v>
      </c>
    </row>
    <row r="8" spans="2:11">
      <c r="B8">
        <f t="shared" si="2"/>
        <v>5</v>
      </c>
      <c r="C8" s="5">
        <v>194</v>
      </c>
      <c r="D8" s="5">
        <v>100</v>
      </c>
      <c r="E8" s="5">
        <f t="shared" si="0"/>
        <v>1388.8888888888889</v>
      </c>
      <c r="F8" s="5">
        <f>'Settling velocity set-up 3'!E8*86400</f>
        <v>120000000</v>
      </c>
      <c r="G8" s="5">
        <f t="shared" si="3"/>
        <v>120</v>
      </c>
      <c r="H8">
        <f t="shared" si="1"/>
        <v>0.1388888888888889</v>
      </c>
    </row>
    <row r="9" spans="2:11">
      <c r="B9">
        <f t="shared" si="2"/>
        <v>6</v>
      </c>
      <c r="C9" s="5">
        <v>568</v>
      </c>
      <c r="D9" s="5">
        <f>369/6</f>
        <v>61.5</v>
      </c>
      <c r="E9" s="5">
        <f t="shared" si="0"/>
        <v>854.16666666666674</v>
      </c>
      <c r="F9" s="5">
        <f>'Settling velocity set-up 3'!E9*86400</f>
        <v>73800000</v>
      </c>
      <c r="G9" s="5">
        <f t="shared" si="3"/>
        <v>73.8</v>
      </c>
      <c r="H9">
        <f t="shared" si="1"/>
        <v>8.5416666666666669E-2</v>
      </c>
    </row>
    <row r="10" spans="2:11">
      <c r="B10">
        <f t="shared" si="2"/>
        <v>7</v>
      </c>
      <c r="C10" s="5">
        <v>479</v>
      </c>
      <c r="D10" s="5">
        <f>182/3</f>
        <v>60.666666666666664</v>
      </c>
      <c r="E10" s="5">
        <f t="shared" si="0"/>
        <v>842.59259259259261</v>
      </c>
      <c r="F10" s="5">
        <f>'Settling velocity set-up 3'!E10*86400</f>
        <v>72800000</v>
      </c>
      <c r="G10" s="5">
        <f t="shared" si="3"/>
        <v>72.8</v>
      </c>
      <c r="H10">
        <f t="shared" si="1"/>
        <v>8.4259259259259256E-2</v>
      </c>
    </row>
    <row r="11" spans="2:11">
      <c r="B11">
        <f t="shared" si="2"/>
        <v>8</v>
      </c>
      <c r="C11" s="5">
        <v>854</v>
      </c>
      <c r="D11" s="5">
        <f>186/3</f>
        <v>62</v>
      </c>
      <c r="E11" s="5">
        <f t="shared" si="0"/>
        <v>861.11111111111109</v>
      </c>
      <c r="F11" s="5">
        <f>'Settling velocity set-up 3'!E11*86400</f>
        <v>74400000</v>
      </c>
      <c r="G11" s="5">
        <f t="shared" si="3"/>
        <v>74.399999999999991</v>
      </c>
      <c r="H11">
        <f t="shared" si="1"/>
        <v>8.611111111111111E-2</v>
      </c>
    </row>
    <row r="12" spans="2:11">
      <c r="B12">
        <f t="shared" si="2"/>
        <v>9</v>
      </c>
      <c r="C12" s="5">
        <v>211</v>
      </c>
      <c r="D12" s="5">
        <f>165/3</f>
        <v>55</v>
      </c>
      <c r="E12" s="5">
        <f t="shared" si="0"/>
        <v>763.88888888888891</v>
      </c>
      <c r="F12" s="5">
        <f>'Settling velocity set-up 3'!E12*86400</f>
        <v>66000000</v>
      </c>
      <c r="G12" s="5">
        <f>F12*0.000001</f>
        <v>66</v>
      </c>
      <c r="H12">
        <f t="shared" si="1"/>
        <v>7.6388888888888895E-2</v>
      </c>
    </row>
    <row r="13" spans="2:11">
      <c r="B13">
        <f t="shared" si="2"/>
        <v>10</v>
      </c>
      <c r="C13" s="5">
        <f>71*K5</f>
        <v>986.11111111111109</v>
      </c>
      <c r="D13" s="5">
        <f>235/3</f>
        <v>78.333333333333329</v>
      </c>
      <c r="E13" s="5">
        <f t="shared" si="0"/>
        <v>1087.9629629629628</v>
      </c>
      <c r="F13" s="5">
        <f>'Settling velocity set-up 3'!E13*86400</f>
        <v>93999999.999999985</v>
      </c>
      <c r="G13" s="5">
        <f>F13*0.000001</f>
        <v>93.999999999999986</v>
      </c>
      <c r="H13">
        <f t="shared" si="1"/>
        <v>0.10879629629629628</v>
      </c>
    </row>
    <row r="14" spans="2:11">
      <c r="B14">
        <f t="shared" si="2"/>
        <v>11</v>
      </c>
      <c r="C14" s="5">
        <v>697</v>
      </c>
      <c r="D14" s="5">
        <f>172/3</f>
        <v>57.333333333333336</v>
      </c>
      <c r="E14" s="5">
        <f t="shared" si="0"/>
        <v>796.2962962962963</v>
      </c>
      <c r="F14" s="5">
        <f>'Settling velocity set-up 3'!E14*86400</f>
        <v>68800000</v>
      </c>
      <c r="G14" s="5">
        <f t="shared" si="3"/>
        <v>68.8</v>
      </c>
      <c r="H14">
        <f t="shared" si="1"/>
        <v>7.9629629629629634E-2</v>
      </c>
    </row>
    <row r="15" spans="2:11">
      <c r="B15">
        <f t="shared" si="2"/>
        <v>12</v>
      </c>
      <c r="C15" s="5">
        <v>387</v>
      </c>
      <c r="D15" s="5">
        <f>185/3</f>
        <v>61.666666666666664</v>
      </c>
      <c r="E15" s="5">
        <f t="shared" si="0"/>
        <v>856.48148148148152</v>
      </c>
      <c r="F15" s="5">
        <f>'Settling velocity set-up 3'!E15*86400</f>
        <v>74000000</v>
      </c>
      <c r="G15" s="5">
        <f t="shared" si="3"/>
        <v>74</v>
      </c>
      <c r="H15">
        <f t="shared" si="1"/>
        <v>8.5648148148148154E-2</v>
      </c>
    </row>
    <row r="16" spans="2:11">
      <c r="B16">
        <f t="shared" si="2"/>
        <v>13</v>
      </c>
      <c r="C16" s="5">
        <v>256</v>
      </c>
      <c r="D16" s="5">
        <f>156/3</f>
        <v>52</v>
      </c>
      <c r="E16" s="5">
        <f t="shared" si="0"/>
        <v>722.22222222222229</v>
      </c>
      <c r="F16" s="5">
        <f>'Settling velocity set-up 3'!E16*86400</f>
        <v>62400000.000000007</v>
      </c>
      <c r="G16" s="5">
        <f t="shared" si="3"/>
        <v>62.400000000000006</v>
      </c>
      <c r="H16">
        <f t="shared" si="1"/>
        <v>7.2222222222222229E-2</v>
      </c>
    </row>
    <row r="17" spans="2:8">
      <c r="B17">
        <f t="shared" si="2"/>
        <v>14</v>
      </c>
      <c r="C17" s="5">
        <v>758</v>
      </c>
      <c r="D17" s="5">
        <f>242/3</f>
        <v>80.666666666666671</v>
      </c>
      <c r="E17" s="5">
        <f t="shared" si="0"/>
        <v>1120.3703703703704</v>
      </c>
      <c r="F17" s="5">
        <f>'Settling velocity set-up 3'!E17*86400</f>
        <v>96800000</v>
      </c>
      <c r="G17" s="5">
        <f t="shared" si="3"/>
        <v>96.8</v>
      </c>
      <c r="H17">
        <f t="shared" si="1"/>
        <v>0.11203703703703705</v>
      </c>
    </row>
    <row r="18" spans="2:8">
      <c r="B18">
        <f t="shared" si="2"/>
        <v>15</v>
      </c>
      <c r="C18" s="5">
        <v>885</v>
      </c>
      <c r="D18" s="5">
        <f>388/4</f>
        <v>97</v>
      </c>
      <c r="E18" s="5">
        <f t="shared" si="0"/>
        <v>1347.2222222222222</v>
      </c>
      <c r="F18" s="5">
        <f>'Settling velocity set-up 3'!E18*86400</f>
        <v>116400000</v>
      </c>
      <c r="G18" s="5">
        <f t="shared" si="3"/>
        <v>116.39999999999999</v>
      </c>
      <c r="H18">
        <f t="shared" si="1"/>
        <v>0.13472222222222222</v>
      </c>
    </row>
    <row r="19" spans="2:8">
      <c r="B19">
        <f t="shared" si="2"/>
        <v>16</v>
      </c>
      <c r="C19" s="5">
        <f>90*K5</f>
        <v>1250</v>
      </c>
      <c r="D19" s="5">
        <f>287/3</f>
        <v>95.666666666666671</v>
      </c>
      <c r="E19" s="5">
        <f t="shared" si="0"/>
        <v>1328.7037037037037</v>
      </c>
      <c r="F19" s="5">
        <f>'Settling velocity set-up 3'!E19*86400</f>
        <v>114800000</v>
      </c>
      <c r="G19" s="5">
        <f t="shared" si="3"/>
        <v>114.8</v>
      </c>
      <c r="H19">
        <f t="shared" si="1"/>
        <v>0.13287037037037036</v>
      </c>
    </row>
    <row r="20" spans="2:8">
      <c r="B20">
        <f t="shared" si="2"/>
        <v>17</v>
      </c>
      <c r="C20" s="5">
        <v>743</v>
      </c>
      <c r="D20" s="5">
        <v>87</v>
      </c>
      <c r="E20" s="5">
        <f t="shared" si="0"/>
        <v>1208.3333333333333</v>
      </c>
      <c r="F20" s="5">
        <f>'Settling velocity set-up 3'!E20*86400</f>
        <v>104400000</v>
      </c>
      <c r="G20" s="5">
        <f t="shared" si="3"/>
        <v>104.39999999999999</v>
      </c>
      <c r="H20">
        <f t="shared" si="1"/>
        <v>0.12083333333333332</v>
      </c>
    </row>
    <row r="21" spans="2:8">
      <c r="B21">
        <f t="shared" si="2"/>
        <v>18</v>
      </c>
      <c r="C21" s="5">
        <v>502</v>
      </c>
      <c r="D21" s="5">
        <v>67</v>
      </c>
      <c r="E21" s="5">
        <f t="shared" si="0"/>
        <v>930.55555555555554</v>
      </c>
      <c r="F21" s="5">
        <f>'Settling velocity set-up 3'!E21*86400</f>
        <v>80400000</v>
      </c>
      <c r="G21" s="5">
        <f t="shared" ref="G21:G26" si="4">F21*0.000001</f>
        <v>80.399999999999991</v>
      </c>
      <c r="H21">
        <f t="shared" si="1"/>
        <v>9.3055555555555558E-2</v>
      </c>
    </row>
    <row r="22" spans="2:8">
      <c r="B22">
        <f t="shared" si="2"/>
        <v>19</v>
      </c>
      <c r="C22" s="5">
        <f>50*K5</f>
        <v>694.44444444444446</v>
      </c>
      <c r="D22" s="5">
        <f>249/3</f>
        <v>83</v>
      </c>
      <c r="E22" s="5">
        <f t="shared" si="0"/>
        <v>1152.7777777777778</v>
      </c>
      <c r="F22" s="5">
        <f>'Settling velocity set-up 3'!E22*86400</f>
        <v>99600000</v>
      </c>
      <c r="G22" s="5">
        <f t="shared" si="4"/>
        <v>99.6</v>
      </c>
      <c r="H22">
        <f t="shared" si="1"/>
        <v>0.11527777777777778</v>
      </c>
    </row>
    <row r="23" spans="2:8">
      <c r="B23">
        <f t="shared" si="2"/>
        <v>20</v>
      </c>
      <c r="C23" s="5">
        <f>23*K5</f>
        <v>319.44444444444446</v>
      </c>
      <c r="D23" s="5">
        <f>155/3</f>
        <v>51.666666666666664</v>
      </c>
      <c r="E23" s="5">
        <f t="shared" si="0"/>
        <v>717.59259259259261</v>
      </c>
      <c r="F23" s="5">
        <f>'Settling velocity set-up 3'!E23*86400</f>
        <v>62000000</v>
      </c>
      <c r="G23" s="5">
        <f t="shared" si="4"/>
        <v>62</v>
      </c>
      <c r="H23">
        <f t="shared" si="1"/>
        <v>7.1759259259259259E-2</v>
      </c>
    </row>
    <row r="24" spans="2:8">
      <c r="B24">
        <f t="shared" si="2"/>
        <v>21</v>
      </c>
      <c r="C24" s="5">
        <f>84*K5</f>
        <v>1166.6666666666667</v>
      </c>
      <c r="D24" s="5">
        <v>141</v>
      </c>
      <c r="E24" s="5">
        <f t="shared" si="0"/>
        <v>1958.3333333333335</v>
      </c>
      <c r="F24" s="5">
        <f>'Settling velocity set-up 3'!E24*86400</f>
        <v>169200000</v>
      </c>
      <c r="G24" s="5">
        <f t="shared" si="4"/>
        <v>169.2</v>
      </c>
      <c r="H24">
        <f t="shared" si="1"/>
        <v>0.19583333333333336</v>
      </c>
    </row>
    <row r="25" spans="2:8">
      <c r="B25">
        <f t="shared" si="2"/>
        <v>22</v>
      </c>
      <c r="C25" s="5">
        <f>42*K5</f>
        <v>583.33333333333337</v>
      </c>
      <c r="D25" s="5">
        <v>102</v>
      </c>
      <c r="E25" s="5">
        <f t="shared" si="0"/>
        <v>1416.6666666666667</v>
      </c>
      <c r="F25" s="5">
        <f>'Settling velocity set-up 3'!E25*86400</f>
        <v>122400000</v>
      </c>
      <c r="G25" s="5">
        <f t="shared" si="4"/>
        <v>122.39999999999999</v>
      </c>
      <c r="H25">
        <f t="shared" si="1"/>
        <v>0.14166666666666666</v>
      </c>
    </row>
    <row r="26" spans="2:8">
      <c r="B26">
        <f t="shared" si="2"/>
        <v>23</v>
      </c>
      <c r="C26" s="5">
        <v>401</v>
      </c>
      <c r="D26" s="5">
        <v>93</v>
      </c>
      <c r="E26" s="5">
        <f t="shared" si="0"/>
        <v>1291.6666666666667</v>
      </c>
      <c r="F26" s="5">
        <f>'Settling velocity set-up 3'!E26*86400</f>
        <v>111600000</v>
      </c>
      <c r="G26" s="5">
        <f t="shared" si="4"/>
        <v>111.6</v>
      </c>
      <c r="H26">
        <f t="shared" si="1"/>
        <v>0.12916666666666668</v>
      </c>
    </row>
    <row r="27" spans="2:8">
      <c r="B27">
        <f t="shared" si="2"/>
        <v>24</v>
      </c>
      <c r="C27" s="5">
        <v>387</v>
      </c>
      <c r="D27" s="5">
        <v>65</v>
      </c>
      <c r="E27" s="5">
        <f t="shared" si="0"/>
        <v>902.77777777777783</v>
      </c>
      <c r="F27" s="5">
        <f>'Settling velocity set-up 3'!E27*86400</f>
        <v>78000000</v>
      </c>
      <c r="G27" s="5">
        <f t="shared" ref="G27:G30" si="5">F27*0.000001</f>
        <v>78</v>
      </c>
      <c r="H27">
        <f t="shared" si="1"/>
        <v>9.0277777777777776E-2</v>
      </c>
    </row>
    <row r="28" spans="2:8">
      <c r="B28">
        <f t="shared" si="2"/>
        <v>25</v>
      </c>
      <c r="C28" s="5">
        <v>236</v>
      </c>
      <c r="D28" s="5">
        <v>43</v>
      </c>
      <c r="E28" s="5">
        <f t="shared" si="0"/>
        <v>597.22222222222229</v>
      </c>
      <c r="F28" s="5">
        <f>'Settling velocity set-up 3'!E28*86400</f>
        <v>51600000.000000007</v>
      </c>
      <c r="G28" s="5">
        <f t="shared" si="5"/>
        <v>51.600000000000009</v>
      </c>
      <c r="H28">
        <f t="shared" si="1"/>
        <v>5.9722222222222225E-2</v>
      </c>
    </row>
    <row r="29" spans="2:8">
      <c r="B29">
        <f t="shared" si="2"/>
        <v>26</v>
      </c>
      <c r="C29" s="5">
        <f>54*K5</f>
        <v>750</v>
      </c>
      <c r="D29" s="5">
        <f>292/4</f>
        <v>73</v>
      </c>
      <c r="E29" s="5">
        <f t="shared" si="0"/>
        <v>1013.8888888888889</v>
      </c>
      <c r="F29" s="5">
        <f>'Settling velocity set-up 3'!E29*86400</f>
        <v>87600000</v>
      </c>
      <c r="G29" s="5">
        <f t="shared" si="5"/>
        <v>87.6</v>
      </c>
      <c r="H29">
        <f t="shared" si="1"/>
        <v>0.10138888888888889</v>
      </c>
    </row>
    <row r="30" spans="2:8">
      <c r="B30">
        <f t="shared" si="2"/>
        <v>27</v>
      </c>
      <c r="C30" s="5">
        <f>60*K5</f>
        <v>833.33333333333337</v>
      </c>
      <c r="D30" s="5">
        <f>299/3</f>
        <v>99.666666666666671</v>
      </c>
      <c r="E30" s="5">
        <f t="shared" si="0"/>
        <v>1384.2592592592594</v>
      </c>
      <c r="F30" s="5">
        <f>'Settling velocity set-up 3'!E30*86400</f>
        <v>119600000.00000001</v>
      </c>
      <c r="G30" s="5">
        <f t="shared" si="5"/>
        <v>119.60000000000001</v>
      </c>
      <c r="H30">
        <f t="shared" si="1"/>
        <v>0.13842592592592592</v>
      </c>
    </row>
    <row r="31" spans="2:8">
      <c r="B31">
        <f t="shared" si="2"/>
        <v>28</v>
      </c>
      <c r="C31" s="5">
        <f>106*K5</f>
        <v>1472.2222222222222</v>
      </c>
      <c r="D31" s="5">
        <f>304/4</f>
        <v>76</v>
      </c>
      <c r="E31" s="5">
        <f t="shared" si="0"/>
        <v>1055.5555555555557</v>
      </c>
      <c r="F31" s="5">
        <f>'Settling velocity set-up 3'!E31*86400</f>
        <v>91200000.000000015</v>
      </c>
      <c r="G31" s="5">
        <f>F31*0.000001</f>
        <v>91.200000000000017</v>
      </c>
      <c r="H31">
        <f t="shared" si="1"/>
        <v>0.10555555555555557</v>
      </c>
    </row>
    <row r="32" spans="2:8">
      <c r="B32">
        <f t="shared" si="2"/>
        <v>29</v>
      </c>
      <c r="C32" s="5">
        <v>132</v>
      </c>
      <c r="D32" s="5">
        <f>106/4</f>
        <v>26.5</v>
      </c>
      <c r="E32" s="5">
        <f t="shared" si="0"/>
        <v>368.05555555555554</v>
      </c>
      <c r="F32" s="5">
        <f>'Settling velocity set-up 3'!E32*86400</f>
        <v>31800000</v>
      </c>
      <c r="G32" s="5">
        <f t="shared" ref="G32:G53" si="6">F32*0.000001</f>
        <v>31.799999999999997</v>
      </c>
      <c r="H32">
        <f t="shared" si="1"/>
        <v>3.6805555555555557E-2</v>
      </c>
    </row>
    <row r="33" spans="2:8">
      <c r="B33">
        <f t="shared" si="2"/>
        <v>30</v>
      </c>
      <c r="C33" s="5">
        <v>301</v>
      </c>
      <c r="D33" s="5">
        <f>198/4</f>
        <v>49.5</v>
      </c>
      <c r="E33" s="5">
        <f t="shared" si="0"/>
        <v>687.5</v>
      </c>
      <c r="F33" s="5">
        <f>'Settling velocity set-up 3'!E33*86400</f>
        <v>59400000</v>
      </c>
      <c r="G33" s="5">
        <f t="shared" si="6"/>
        <v>59.4</v>
      </c>
      <c r="H33">
        <f t="shared" si="1"/>
        <v>6.8750000000000006E-2</v>
      </c>
    </row>
    <row r="34" spans="2:8">
      <c r="B34">
        <f t="shared" si="2"/>
        <v>31</v>
      </c>
      <c r="C34" s="5">
        <f>77*K5</f>
        <v>1069.4444444444446</v>
      </c>
      <c r="D34" s="5">
        <v>107</v>
      </c>
      <c r="E34" s="5">
        <f t="shared" si="0"/>
        <v>1486.1111111111111</v>
      </c>
      <c r="F34" s="5">
        <f>'Settling velocity set-up 3'!E34*86400</f>
        <v>128400000</v>
      </c>
      <c r="G34" s="5">
        <f t="shared" si="6"/>
        <v>128.4</v>
      </c>
      <c r="H34">
        <f t="shared" si="1"/>
        <v>0.14861111111111111</v>
      </c>
    </row>
    <row r="35" spans="2:8">
      <c r="B35">
        <f t="shared" si="2"/>
        <v>32</v>
      </c>
      <c r="C35" s="5">
        <f>38*K5</f>
        <v>527.77777777777783</v>
      </c>
      <c r="D35" s="5">
        <v>60</v>
      </c>
      <c r="E35" s="5">
        <f t="shared" si="0"/>
        <v>833.33333333333337</v>
      </c>
      <c r="F35" s="5">
        <f>'Settling velocity set-up 3'!E35*86400</f>
        <v>72000000</v>
      </c>
      <c r="G35" s="5">
        <f t="shared" si="6"/>
        <v>72</v>
      </c>
      <c r="H35">
        <f t="shared" si="1"/>
        <v>8.3333333333333343E-2</v>
      </c>
    </row>
    <row r="36" spans="2:8">
      <c r="B36">
        <f t="shared" si="2"/>
        <v>33</v>
      </c>
      <c r="C36" s="5">
        <f>85*K5</f>
        <v>1180.5555555555557</v>
      </c>
      <c r="D36" s="5">
        <f>292/3</f>
        <v>97.333333333333329</v>
      </c>
      <c r="E36" s="5">
        <f t="shared" ref="E36:E53" si="7">D36*$K$5</f>
        <v>1351.8518518518517</v>
      </c>
      <c r="F36" s="5">
        <f>'Settling velocity set-up 3'!E36*86400</f>
        <v>116799999.99999999</v>
      </c>
      <c r="G36" s="5">
        <f t="shared" si="6"/>
        <v>116.79999999999998</v>
      </c>
      <c r="H36">
        <f t="shared" si="1"/>
        <v>0.13518518518518519</v>
      </c>
    </row>
    <row r="37" spans="2:8">
      <c r="B37">
        <f t="shared" si="2"/>
        <v>34</v>
      </c>
      <c r="C37" s="5">
        <f>43*K5</f>
        <v>597.22222222222229</v>
      </c>
      <c r="D37" s="5">
        <f>318/6</f>
        <v>53</v>
      </c>
      <c r="E37" s="5">
        <f t="shared" si="7"/>
        <v>736.11111111111109</v>
      </c>
      <c r="F37" s="5">
        <f>'Settling velocity set-up 3'!E37*86400</f>
        <v>63600000</v>
      </c>
      <c r="G37" s="5">
        <f t="shared" si="6"/>
        <v>63.599999999999994</v>
      </c>
      <c r="H37">
        <f t="shared" si="1"/>
        <v>7.3611111111111113E-2</v>
      </c>
    </row>
    <row r="38" spans="2:8">
      <c r="B38">
        <f t="shared" si="2"/>
        <v>35</v>
      </c>
      <c r="C38" s="5">
        <f>90*K5</f>
        <v>1250</v>
      </c>
      <c r="D38" s="5">
        <f>381/6</f>
        <v>63.5</v>
      </c>
      <c r="E38" s="5">
        <f t="shared" si="7"/>
        <v>881.94444444444446</v>
      </c>
      <c r="F38" s="5">
        <f>'Settling velocity set-up 3'!E38*86400</f>
        <v>76200000</v>
      </c>
      <c r="G38" s="5">
        <f t="shared" si="6"/>
        <v>76.2</v>
      </c>
      <c r="H38">
        <f t="shared" si="1"/>
        <v>8.819444444444445E-2</v>
      </c>
    </row>
    <row r="39" spans="2:8">
      <c r="B39">
        <f t="shared" si="2"/>
        <v>36</v>
      </c>
      <c r="C39" s="5">
        <f>66*K5</f>
        <v>916.66666666666674</v>
      </c>
      <c r="D39" s="5">
        <f>275/4</f>
        <v>68.75</v>
      </c>
      <c r="E39" s="5">
        <f t="shared" si="7"/>
        <v>954.86111111111109</v>
      </c>
      <c r="F39" s="5">
        <f>'Settling velocity set-up 3'!E39*86400</f>
        <v>82500000</v>
      </c>
      <c r="G39" s="5">
        <f t="shared" si="6"/>
        <v>82.5</v>
      </c>
      <c r="H39">
        <f t="shared" si="1"/>
        <v>9.5486111111111105E-2</v>
      </c>
    </row>
    <row r="40" spans="2:8">
      <c r="B40">
        <f t="shared" si="2"/>
        <v>37</v>
      </c>
      <c r="C40" s="5">
        <f>36*K5</f>
        <v>500</v>
      </c>
      <c r="D40" s="5">
        <v>50</v>
      </c>
      <c r="E40" s="5">
        <f t="shared" si="7"/>
        <v>694.44444444444446</v>
      </c>
      <c r="F40" s="5">
        <f>'Settling velocity set-up 3'!E40*86400</f>
        <v>60000000</v>
      </c>
      <c r="G40" s="5">
        <f t="shared" si="6"/>
        <v>60</v>
      </c>
      <c r="H40">
        <f t="shared" si="1"/>
        <v>6.9444444444444448E-2</v>
      </c>
    </row>
    <row r="41" spans="2:8">
      <c r="B41">
        <f t="shared" si="2"/>
        <v>38</v>
      </c>
      <c r="C41" s="5">
        <f>58*K5</f>
        <v>805.55555555555554</v>
      </c>
      <c r="D41" s="5">
        <f>243/3</f>
        <v>81</v>
      </c>
      <c r="E41" s="5">
        <f t="shared" si="7"/>
        <v>1125</v>
      </c>
      <c r="F41" s="5">
        <f>'Settling velocity set-up 3'!E41*86400</f>
        <v>97200000</v>
      </c>
      <c r="G41" s="5">
        <f t="shared" si="6"/>
        <v>97.199999999999989</v>
      </c>
      <c r="H41">
        <f t="shared" si="1"/>
        <v>0.1125</v>
      </c>
    </row>
    <row r="42" spans="2:8">
      <c r="B42">
        <f t="shared" si="2"/>
        <v>39</v>
      </c>
      <c r="C42" s="5">
        <f>87*K5</f>
        <v>1208.3333333333333</v>
      </c>
      <c r="D42" s="5">
        <f>309/6</f>
        <v>51.5</v>
      </c>
      <c r="E42" s="5">
        <f t="shared" si="7"/>
        <v>715.27777777777783</v>
      </c>
      <c r="F42" s="5">
        <f>'Settling velocity set-up 3'!E42*86400</f>
        <v>61800000.000000007</v>
      </c>
      <c r="G42" s="5">
        <f t="shared" si="6"/>
        <v>61.800000000000004</v>
      </c>
      <c r="H42">
        <f t="shared" si="1"/>
        <v>7.1527777777777787E-2</v>
      </c>
    </row>
    <row r="43" spans="2:8">
      <c r="B43">
        <f t="shared" si="2"/>
        <v>40</v>
      </c>
      <c r="C43" s="5">
        <v>303</v>
      </c>
      <c r="D43" s="5">
        <v>49</v>
      </c>
      <c r="E43" s="5">
        <f t="shared" si="7"/>
        <v>680.55555555555554</v>
      </c>
      <c r="F43" s="5">
        <f>'Settling velocity set-up 3'!E43*86400</f>
        <v>58800000</v>
      </c>
      <c r="G43" s="5">
        <f t="shared" si="6"/>
        <v>58.8</v>
      </c>
      <c r="H43">
        <f t="shared" si="1"/>
        <v>6.805555555555555E-2</v>
      </c>
    </row>
    <row r="44" spans="2:8">
      <c r="B44">
        <f t="shared" si="2"/>
        <v>41</v>
      </c>
      <c r="C44" s="5">
        <v>708</v>
      </c>
      <c r="D44" s="5">
        <v>60</v>
      </c>
      <c r="E44" s="5">
        <f t="shared" si="7"/>
        <v>833.33333333333337</v>
      </c>
      <c r="F44" s="5">
        <f>'Settling velocity set-up 3'!E44*86400</f>
        <v>72000000</v>
      </c>
      <c r="G44" s="5">
        <f t="shared" si="6"/>
        <v>72</v>
      </c>
      <c r="H44">
        <f t="shared" si="1"/>
        <v>8.3333333333333343E-2</v>
      </c>
    </row>
    <row r="45" spans="2:8">
      <c r="B45">
        <f t="shared" si="2"/>
        <v>42</v>
      </c>
      <c r="C45" s="5">
        <v>984</v>
      </c>
      <c r="D45" s="5">
        <v>82</v>
      </c>
      <c r="E45" s="5">
        <f t="shared" si="7"/>
        <v>1138.8888888888889</v>
      </c>
      <c r="F45" s="5">
        <f>'Settling velocity set-up 3'!E45*86400</f>
        <v>98400000</v>
      </c>
      <c r="G45" s="5">
        <f t="shared" si="6"/>
        <v>98.399999999999991</v>
      </c>
      <c r="H45">
        <f t="shared" si="1"/>
        <v>0.11388888888888889</v>
      </c>
    </row>
    <row r="46" spans="2:8">
      <c r="B46">
        <f t="shared" si="2"/>
        <v>43</v>
      </c>
      <c r="C46" s="5">
        <v>1194</v>
      </c>
      <c r="D46" s="5">
        <v>89</v>
      </c>
      <c r="E46" s="5">
        <f t="shared" si="7"/>
        <v>1236.1111111111111</v>
      </c>
      <c r="F46" s="5">
        <f>'Settling velocity set-up 3'!E46*86400</f>
        <v>106800000</v>
      </c>
      <c r="G46" s="5">
        <f t="shared" si="6"/>
        <v>106.8</v>
      </c>
      <c r="H46">
        <f t="shared" si="1"/>
        <v>0.1236111111111111</v>
      </c>
    </row>
    <row r="47" spans="2:8">
      <c r="B47">
        <f t="shared" si="2"/>
        <v>44</v>
      </c>
      <c r="C47" s="5">
        <v>1482</v>
      </c>
      <c r="D47" s="5">
        <v>98</v>
      </c>
      <c r="E47" s="5">
        <f t="shared" si="7"/>
        <v>1361.1111111111111</v>
      </c>
      <c r="F47" s="5">
        <f>'Settling velocity set-up 3'!E47*86400</f>
        <v>117600000</v>
      </c>
      <c r="G47" s="5">
        <f t="shared" si="6"/>
        <v>117.6</v>
      </c>
      <c r="H47">
        <f t="shared" si="1"/>
        <v>0.1361111111111111</v>
      </c>
    </row>
    <row r="48" spans="2:8">
      <c r="B48">
        <f t="shared" si="2"/>
        <v>45</v>
      </c>
      <c r="C48" s="5">
        <v>263</v>
      </c>
      <c r="D48" s="5">
        <v>44</v>
      </c>
      <c r="E48" s="5">
        <f t="shared" si="7"/>
        <v>611.11111111111109</v>
      </c>
      <c r="F48" s="5">
        <f>'Settling velocity set-up 3'!E48*86400</f>
        <v>52800000</v>
      </c>
      <c r="G48" s="5">
        <f t="shared" si="6"/>
        <v>52.8</v>
      </c>
      <c r="H48">
        <f t="shared" si="1"/>
        <v>6.1111111111111109E-2</v>
      </c>
    </row>
    <row r="49" spans="2:8">
      <c r="B49">
        <f t="shared" si="2"/>
        <v>46</v>
      </c>
      <c r="C49" s="5">
        <v>969</v>
      </c>
      <c r="D49" s="5">
        <v>90</v>
      </c>
      <c r="E49" s="5">
        <f t="shared" si="7"/>
        <v>1250</v>
      </c>
      <c r="F49" s="5">
        <f>'Settling velocity set-up 3'!E49*86400</f>
        <v>108000000</v>
      </c>
      <c r="G49" s="5">
        <f t="shared" si="6"/>
        <v>108</v>
      </c>
      <c r="H49">
        <f t="shared" si="1"/>
        <v>0.125</v>
      </c>
    </row>
    <row r="50" spans="2:8">
      <c r="B50">
        <f t="shared" si="2"/>
        <v>47</v>
      </c>
      <c r="C50" s="5">
        <v>518</v>
      </c>
      <c r="D50" s="5">
        <v>51</v>
      </c>
      <c r="E50" s="5">
        <f t="shared" si="7"/>
        <v>708.33333333333337</v>
      </c>
      <c r="F50" s="5">
        <f>'Settling velocity set-up 3'!E50*86400</f>
        <v>61200000</v>
      </c>
      <c r="G50" s="5">
        <f t="shared" si="6"/>
        <v>61.199999999999996</v>
      </c>
      <c r="H50">
        <f t="shared" si="1"/>
        <v>7.0833333333333331E-2</v>
      </c>
    </row>
    <row r="51" spans="2:8">
      <c r="B51">
        <f t="shared" si="2"/>
        <v>48</v>
      </c>
      <c r="C51" s="5">
        <v>1291</v>
      </c>
      <c r="D51" s="5">
        <v>103</v>
      </c>
      <c r="E51" s="5">
        <f t="shared" si="7"/>
        <v>1430.5555555555557</v>
      </c>
      <c r="F51" s="5">
        <f>'Settling velocity set-up 3'!E51*86400</f>
        <v>123600000.00000001</v>
      </c>
      <c r="G51" s="5">
        <f t="shared" si="6"/>
        <v>123.60000000000001</v>
      </c>
      <c r="H51">
        <f t="shared" si="1"/>
        <v>0.14305555555555557</v>
      </c>
    </row>
    <row r="52" spans="2:8">
      <c r="B52">
        <f t="shared" si="2"/>
        <v>49</v>
      </c>
      <c r="C52" s="5">
        <v>659</v>
      </c>
      <c r="D52" s="5">
        <v>71</v>
      </c>
      <c r="E52" s="5">
        <f t="shared" si="7"/>
        <v>986.11111111111109</v>
      </c>
      <c r="F52" s="5">
        <f>'Settling velocity set-up 3'!E52*86400</f>
        <v>85200000</v>
      </c>
      <c r="G52" s="5">
        <f t="shared" si="6"/>
        <v>85.2</v>
      </c>
      <c r="H52">
        <f t="shared" si="1"/>
        <v>9.8611111111111108E-2</v>
      </c>
    </row>
    <row r="53" spans="2:8">
      <c r="B53">
        <f t="shared" si="2"/>
        <v>50</v>
      </c>
      <c r="C53" s="5">
        <v>1037</v>
      </c>
      <c r="D53" s="5">
        <v>93</v>
      </c>
      <c r="E53" s="5">
        <f t="shared" si="7"/>
        <v>1291.6666666666667</v>
      </c>
      <c r="F53" s="5">
        <f>'Settling velocity set-up 3'!E53*86400</f>
        <v>111600000</v>
      </c>
      <c r="G53" s="5">
        <f t="shared" si="6"/>
        <v>111.6</v>
      </c>
      <c r="H53">
        <f t="shared" si="1"/>
        <v>0.12916666666666668</v>
      </c>
    </row>
    <row r="54" spans="2:8">
      <c r="B54" t="s">
        <v>26</v>
      </c>
      <c r="C54" s="5">
        <f>AVERAGE(C4:C53)</f>
        <v>712.64888888888891</v>
      </c>
      <c r="D54" s="5">
        <f t="shared" ref="D54:H54" si="8">AVERAGE(D4:D53)</f>
        <v>75.594999999999999</v>
      </c>
      <c r="E54" s="5">
        <f t="shared" si="8"/>
        <v>1049.9305555555557</v>
      </c>
      <c r="F54" s="5">
        <f t="shared" si="8"/>
        <v>90714000</v>
      </c>
      <c r="G54" s="5">
        <f t="shared" si="8"/>
        <v>90.714000000000013</v>
      </c>
      <c r="H54" s="49">
        <f t="shared" si="8"/>
        <v>0.10499305555555556</v>
      </c>
    </row>
    <row r="55" spans="2:8">
      <c r="B55" t="s">
        <v>113</v>
      </c>
      <c r="C55">
        <f>_xlfn.STDEV.S(C4:C53)</f>
        <v>369.18523350609752</v>
      </c>
      <c r="D55">
        <f t="shared" ref="D55:H55" si="9">_xlfn.STDEV.S(D4:D53)</f>
        <v>22.842046167741909</v>
      </c>
      <c r="E55">
        <f t="shared" si="9"/>
        <v>317.2506412186367</v>
      </c>
      <c r="F55">
        <f t="shared" si="9"/>
        <v>27410455.40129026</v>
      </c>
      <c r="G55">
        <f t="shared" si="9"/>
        <v>27.410455401290225</v>
      </c>
      <c r="H55">
        <f t="shared" si="9"/>
        <v>3.1725064121863662E-2</v>
      </c>
    </row>
  </sheetData>
  <mergeCells count="1">
    <mergeCell ref="B1:C1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6"/>
  <sheetViews>
    <sheetView workbookViewId="0">
      <selection activeCell="M30" sqref="M30"/>
    </sheetView>
  </sheetViews>
  <sheetFormatPr baseColWidth="10" defaultRowHeight="15"/>
  <sheetData>
    <row r="1" spans="2:11">
      <c r="B1" s="85" t="s">
        <v>186</v>
      </c>
      <c r="C1" s="85"/>
    </row>
    <row r="4" spans="2:11">
      <c r="C4" t="s">
        <v>55</v>
      </c>
      <c r="D4" t="s">
        <v>50</v>
      </c>
      <c r="E4" t="s">
        <v>56</v>
      </c>
      <c r="F4" t="s">
        <v>57</v>
      </c>
      <c r="G4" t="s">
        <v>54</v>
      </c>
      <c r="H4" t="s">
        <v>170</v>
      </c>
      <c r="J4" s="55" t="s">
        <v>73</v>
      </c>
      <c r="K4" s="56"/>
    </row>
    <row r="5" spans="2:11">
      <c r="B5">
        <v>1</v>
      </c>
      <c r="C5">
        <v>402</v>
      </c>
      <c r="D5">
        <f>350/2</f>
        <v>175</v>
      </c>
      <c r="E5">
        <f t="shared" ref="E5:E11" si="0">D5*13.88</f>
        <v>2429</v>
      </c>
      <c r="F5">
        <f t="shared" ref="F5:F11" si="1">E5*86400</f>
        <v>209865600</v>
      </c>
      <c r="G5">
        <f t="shared" ref="G5:G11" si="2">F5*0.000001</f>
        <v>209.8656</v>
      </c>
      <c r="H5">
        <f>E5/10000</f>
        <v>0.2429</v>
      </c>
      <c r="J5" s="57">
        <v>18</v>
      </c>
      <c r="K5" s="58">
        <v>250</v>
      </c>
    </row>
    <row r="6" spans="2:11">
      <c r="B6">
        <v>2</v>
      </c>
      <c r="C6">
        <v>1272</v>
      </c>
      <c r="D6">
        <v>434</v>
      </c>
      <c r="E6">
        <f t="shared" si="0"/>
        <v>6023.92</v>
      </c>
      <c r="F6">
        <f t="shared" si="1"/>
        <v>520466688</v>
      </c>
      <c r="G6">
        <f t="shared" si="2"/>
        <v>520.46668799999998</v>
      </c>
      <c r="H6">
        <f t="shared" ref="H6:H54" si="3">E6/10000</f>
        <v>0.60239200000000004</v>
      </c>
      <c r="J6" s="59">
        <v>1</v>
      </c>
      <c r="K6" s="60">
        <v>13.888888888888889</v>
      </c>
    </row>
    <row r="7" spans="2:11">
      <c r="B7">
        <v>3</v>
      </c>
      <c r="C7">
        <v>567</v>
      </c>
      <c r="D7">
        <v>183</v>
      </c>
      <c r="E7">
        <f t="shared" si="0"/>
        <v>2540.04</v>
      </c>
      <c r="F7">
        <f t="shared" si="1"/>
        <v>219459456</v>
      </c>
      <c r="G7">
        <f t="shared" si="2"/>
        <v>219.45945599999999</v>
      </c>
      <c r="H7">
        <f t="shared" si="3"/>
        <v>0.25400400000000001</v>
      </c>
    </row>
    <row r="8" spans="2:11">
      <c r="B8">
        <v>4</v>
      </c>
      <c r="C8">
        <v>983</v>
      </c>
      <c r="D8">
        <v>347</v>
      </c>
      <c r="E8">
        <f t="shared" si="0"/>
        <v>4816.3600000000006</v>
      </c>
      <c r="F8">
        <f t="shared" si="1"/>
        <v>416133504.00000006</v>
      </c>
      <c r="G8">
        <f t="shared" si="2"/>
        <v>416.13350400000002</v>
      </c>
      <c r="H8">
        <f t="shared" si="3"/>
        <v>0.48163600000000006</v>
      </c>
    </row>
    <row r="9" spans="2:11">
      <c r="B9">
        <v>5</v>
      </c>
      <c r="C9">
        <v>513</v>
      </c>
      <c r="D9">
        <v>393</v>
      </c>
      <c r="E9">
        <f t="shared" si="0"/>
        <v>5454.84</v>
      </c>
      <c r="F9">
        <f t="shared" si="1"/>
        <v>471298176</v>
      </c>
      <c r="G9">
        <f t="shared" si="2"/>
        <v>471.29817599999996</v>
      </c>
      <c r="H9">
        <f t="shared" si="3"/>
        <v>0.54548399999999997</v>
      </c>
    </row>
    <row r="10" spans="2:11">
      <c r="B10">
        <v>6</v>
      </c>
      <c r="C10">
        <v>486</v>
      </c>
      <c r="D10">
        <v>314</v>
      </c>
      <c r="E10">
        <f t="shared" si="0"/>
        <v>4358.3200000000006</v>
      </c>
      <c r="F10">
        <f t="shared" si="1"/>
        <v>376558848.00000006</v>
      </c>
      <c r="G10">
        <f t="shared" si="2"/>
        <v>376.55884800000007</v>
      </c>
      <c r="H10">
        <f t="shared" si="3"/>
        <v>0.43583200000000005</v>
      </c>
    </row>
    <row r="11" spans="2:11">
      <c r="B11">
        <v>7</v>
      </c>
      <c r="C11">
        <v>196</v>
      </c>
      <c r="D11">
        <f>264/2</f>
        <v>132</v>
      </c>
      <c r="E11">
        <f t="shared" si="0"/>
        <v>1832.16</v>
      </c>
      <c r="F11">
        <f t="shared" si="1"/>
        <v>158298624</v>
      </c>
      <c r="G11">
        <f t="shared" si="2"/>
        <v>158.29862399999999</v>
      </c>
      <c r="H11">
        <f t="shared" si="3"/>
        <v>0.18321600000000002</v>
      </c>
    </row>
    <row r="12" spans="2:11">
      <c r="B12">
        <v>8</v>
      </c>
      <c r="C12">
        <v>895</v>
      </c>
      <c r="D12">
        <v>358</v>
      </c>
      <c r="E12">
        <f t="shared" ref="E12:E54" si="4">D12*13.88</f>
        <v>4969.04</v>
      </c>
      <c r="F12">
        <f t="shared" ref="F12:F54" si="5">E12*86400</f>
        <v>429325056</v>
      </c>
      <c r="G12">
        <f t="shared" ref="G12:G54" si="6">F12*0.000001</f>
        <v>429.32505599999996</v>
      </c>
      <c r="H12">
        <f t="shared" si="3"/>
        <v>0.49690400000000001</v>
      </c>
    </row>
    <row r="13" spans="2:11">
      <c r="B13">
        <v>9</v>
      </c>
      <c r="C13">
        <v>387</v>
      </c>
      <c r="D13">
        <v>349</v>
      </c>
      <c r="E13">
        <f t="shared" si="4"/>
        <v>4844.12</v>
      </c>
      <c r="F13">
        <f t="shared" si="5"/>
        <v>418531968</v>
      </c>
      <c r="G13">
        <f t="shared" si="6"/>
        <v>418.53196800000001</v>
      </c>
      <c r="H13">
        <f t="shared" si="3"/>
        <v>0.48441200000000001</v>
      </c>
    </row>
    <row r="14" spans="2:11">
      <c r="B14">
        <v>10</v>
      </c>
      <c r="C14">
        <v>354</v>
      </c>
      <c r="D14">
        <v>166</v>
      </c>
      <c r="E14">
        <f t="shared" si="4"/>
        <v>2304.08</v>
      </c>
      <c r="F14">
        <f t="shared" si="5"/>
        <v>199072512</v>
      </c>
      <c r="G14">
        <f t="shared" si="6"/>
        <v>199.07251199999999</v>
      </c>
      <c r="H14">
        <f t="shared" si="3"/>
        <v>0.230408</v>
      </c>
    </row>
    <row r="15" spans="2:11">
      <c r="B15">
        <v>11</v>
      </c>
      <c r="C15">
        <v>421</v>
      </c>
      <c r="D15">
        <v>175</v>
      </c>
      <c r="E15">
        <f t="shared" si="4"/>
        <v>2429</v>
      </c>
      <c r="F15">
        <f t="shared" si="5"/>
        <v>209865600</v>
      </c>
      <c r="G15">
        <f t="shared" si="6"/>
        <v>209.8656</v>
      </c>
      <c r="H15">
        <f t="shared" si="3"/>
        <v>0.2429</v>
      </c>
    </row>
    <row r="16" spans="2:11">
      <c r="B16">
        <v>12</v>
      </c>
      <c r="C16">
        <v>1078</v>
      </c>
      <c r="D16">
        <v>490</v>
      </c>
      <c r="E16">
        <f t="shared" si="4"/>
        <v>6801.2000000000007</v>
      </c>
      <c r="F16">
        <f t="shared" si="5"/>
        <v>587623680.00000012</v>
      </c>
      <c r="G16">
        <f t="shared" si="6"/>
        <v>587.62368000000015</v>
      </c>
      <c r="H16">
        <f t="shared" si="3"/>
        <v>0.68012000000000006</v>
      </c>
    </row>
    <row r="17" spans="2:8">
      <c r="B17">
        <v>13</v>
      </c>
      <c r="C17">
        <v>1597</v>
      </c>
      <c r="D17">
        <v>563</v>
      </c>
      <c r="E17">
        <f t="shared" si="4"/>
        <v>7814.4400000000005</v>
      </c>
      <c r="F17">
        <f t="shared" si="5"/>
        <v>675167616</v>
      </c>
      <c r="G17">
        <f t="shared" si="6"/>
        <v>675.16761599999995</v>
      </c>
      <c r="H17">
        <f t="shared" si="3"/>
        <v>0.78144400000000003</v>
      </c>
    </row>
    <row r="18" spans="2:8">
      <c r="B18">
        <v>14</v>
      </c>
      <c r="C18" s="5">
        <v>1593.6249000000003</v>
      </c>
      <c r="D18">
        <v>543</v>
      </c>
      <c r="E18">
        <f t="shared" si="4"/>
        <v>7536.84</v>
      </c>
      <c r="F18">
        <f t="shared" si="5"/>
        <v>651182976</v>
      </c>
      <c r="G18">
        <f t="shared" si="6"/>
        <v>651.18297599999994</v>
      </c>
      <c r="H18">
        <f t="shared" si="3"/>
        <v>0.75368400000000002</v>
      </c>
    </row>
    <row r="19" spans="2:8">
      <c r="B19">
        <v>15</v>
      </c>
      <c r="C19" s="5">
        <v>1692.5298600000001</v>
      </c>
      <c r="D19">
        <v>574</v>
      </c>
      <c r="E19">
        <f t="shared" si="4"/>
        <v>7967.1200000000008</v>
      </c>
      <c r="F19">
        <f t="shared" si="5"/>
        <v>688359168.00000012</v>
      </c>
      <c r="G19">
        <f t="shared" si="6"/>
        <v>688.35916800000007</v>
      </c>
      <c r="H19">
        <f t="shared" si="3"/>
        <v>0.79671200000000009</v>
      </c>
    </row>
    <row r="20" spans="2:8">
      <c r="B20">
        <v>16</v>
      </c>
      <c r="C20" s="5">
        <v>2332.5354000000002</v>
      </c>
      <c r="D20">
        <v>652</v>
      </c>
      <c r="E20">
        <f t="shared" si="4"/>
        <v>9049.76</v>
      </c>
      <c r="F20">
        <f t="shared" si="5"/>
        <v>781899264</v>
      </c>
      <c r="G20">
        <f t="shared" si="6"/>
        <v>781.89926400000002</v>
      </c>
      <c r="H20">
        <f t="shared" si="3"/>
        <v>0.904976</v>
      </c>
    </row>
    <row r="21" spans="2:8">
      <c r="B21">
        <v>17</v>
      </c>
      <c r="C21" s="5">
        <v>1808.58798</v>
      </c>
      <c r="D21">
        <v>598</v>
      </c>
      <c r="E21">
        <f t="shared" si="4"/>
        <v>8300.24</v>
      </c>
      <c r="F21">
        <f t="shared" si="5"/>
        <v>717140736</v>
      </c>
      <c r="G21">
        <f t="shared" si="6"/>
        <v>717.14073599999995</v>
      </c>
      <c r="H21">
        <f t="shared" si="3"/>
        <v>0.83002399999999998</v>
      </c>
    </row>
    <row r="22" spans="2:8">
      <c r="B22">
        <v>18</v>
      </c>
      <c r="C22" s="5">
        <v>776.92308000000003</v>
      </c>
      <c r="D22">
        <v>450</v>
      </c>
      <c r="E22">
        <f t="shared" si="4"/>
        <v>6246</v>
      </c>
      <c r="F22">
        <f t="shared" si="5"/>
        <v>539654400</v>
      </c>
      <c r="G22">
        <f t="shared" si="6"/>
        <v>539.65440000000001</v>
      </c>
      <c r="H22">
        <f t="shared" si="3"/>
        <v>0.62460000000000004</v>
      </c>
    </row>
    <row r="23" spans="2:8">
      <c r="B23">
        <v>19</v>
      </c>
      <c r="C23" s="5">
        <v>620.28342000000009</v>
      </c>
      <c r="D23">
        <v>446</v>
      </c>
      <c r="E23">
        <f t="shared" si="4"/>
        <v>6190.4800000000005</v>
      </c>
      <c r="F23">
        <f t="shared" si="5"/>
        <v>534857472.00000006</v>
      </c>
      <c r="G23">
        <f t="shared" si="6"/>
        <v>534.85747200000003</v>
      </c>
      <c r="H23">
        <f t="shared" si="3"/>
        <v>0.61904800000000004</v>
      </c>
    </row>
    <row r="24" spans="2:8">
      <c r="B24">
        <v>20</v>
      </c>
      <c r="C24" s="5">
        <v>1145.7561600000001</v>
      </c>
      <c r="D24">
        <v>468</v>
      </c>
      <c r="E24">
        <f t="shared" si="4"/>
        <v>6495.84</v>
      </c>
      <c r="F24">
        <f t="shared" si="5"/>
        <v>561240576</v>
      </c>
      <c r="G24">
        <f t="shared" si="6"/>
        <v>561.24057599999992</v>
      </c>
      <c r="H24">
        <f t="shared" si="3"/>
        <v>0.64958400000000005</v>
      </c>
    </row>
    <row r="25" spans="2:8">
      <c r="B25">
        <v>21</v>
      </c>
      <c r="C25" s="5">
        <v>1249.90608</v>
      </c>
      <c r="D25">
        <v>522</v>
      </c>
      <c r="E25">
        <f t="shared" si="4"/>
        <v>7245.3600000000006</v>
      </c>
      <c r="F25">
        <f t="shared" si="5"/>
        <v>625999104</v>
      </c>
      <c r="G25">
        <f t="shared" si="6"/>
        <v>625.99910399999999</v>
      </c>
      <c r="H25">
        <f t="shared" si="3"/>
        <v>0.72453600000000007</v>
      </c>
    </row>
    <row r="26" spans="2:8">
      <c r="B26">
        <v>22</v>
      </c>
      <c r="C26" s="5">
        <v>991.23054000000002</v>
      </c>
      <c r="D26">
        <v>439</v>
      </c>
      <c r="E26">
        <f t="shared" si="4"/>
        <v>6093.3200000000006</v>
      </c>
      <c r="F26">
        <f t="shared" si="5"/>
        <v>526462848.00000006</v>
      </c>
      <c r="G26">
        <f t="shared" si="6"/>
        <v>526.46284800000001</v>
      </c>
      <c r="H26">
        <f t="shared" si="3"/>
        <v>0.6093320000000001</v>
      </c>
    </row>
    <row r="27" spans="2:8">
      <c r="B27">
        <v>23</v>
      </c>
      <c r="C27" s="5">
        <v>787.03836000000013</v>
      </c>
      <c r="D27">
        <v>423</v>
      </c>
      <c r="E27">
        <f t="shared" si="4"/>
        <v>5871.2400000000007</v>
      </c>
      <c r="F27">
        <f t="shared" si="5"/>
        <v>507275136.00000006</v>
      </c>
      <c r="G27">
        <f t="shared" si="6"/>
        <v>507.27513600000003</v>
      </c>
      <c r="H27">
        <f t="shared" si="3"/>
        <v>0.58712400000000009</v>
      </c>
    </row>
    <row r="28" spans="2:8">
      <c r="B28">
        <v>24</v>
      </c>
      <c r="C28" s="5">
        <v>931.90362000000005</v>
      </c>
      <c r="D28">
        <v>486</v>
      </c>
      <c r="E28">
        <f t="shared" si="4"/>
        <v>6745.68</v>
      </c>
      <c r="F28">
        <f t="shared" si="5"/>
        <v>582826752</v>
      </c>
      <c r="G28">
        <f t="shared" si="6"/>
        <v>582.82675199999994</v>
      </c>
      <c r="H28">
        <f t="shared" si="3"/>
        <v>0.67456800000000006</v>
      </c>
    </row>
    <row r="29" spans="2:8">
      <c r="B29">
        <v>25</v>
      </c>
      <c r="C29" s="5">
        <v>2049.0265800000002</v>
      </c>
      <c r="D29">
        <v>609</v>
      </c>
      <c r="E29">
        <f t="shared" si="4"/>
        <v>8452.92</v>
      </c>
      <c r="F29">
        <f t="shared" si="5"/>
        <v>730332288</v>
      </c>
      <c r="G29">
        <f t="shared" si="6"/>
        <v>730.33228799999995</v>
      </c>
      <c r="H29">
        <f t="shared" si="3"/>
        <v>0.84529200000000004</v>
      </c>
    </row>
    <row r="30" spans="2:8">
      <c r="B30">
        <v>26</v>
      </c>
      <c r="C30" s="5">
        <v>1264.1691600000001</v>
      </c>
      <c r="D30">
        <v>504</v>
      </c>
      <c r="E30">
        <f t="shared" si="4"/>
        <v>6995.52</v>
      </c>
      <c r="F30">
        <f t="shared" si="5"/>
        <v>604412928</v>
      </c>
      <c r="G30">
        <f t="shared" si="6"/>
        <v>604.41292799999997</v>
      </c>
      <c r="H30">
        <f t="shared" si="3"/>
        <v>0.69955200000000006</v>
      </c>
    </row>
    <row r="31" spans="2:8">
      <c r="B31">
        <v>27</v>
      </c>
      <c r="C31" s="5">
        <v>1486.6518000000001</v>
      </c>
      <c r="D31">
        <v>520</v>
      </c>
      <c r="E31">
        <f t="shared" si="4"/>
        <v>7217.6</v>
      </c>
      <c r="F31">
        <f t="shared" si="5"/>
        <v>623600640</v>
      </c>
      <c r="G31">
        <f t="shared" si="6"/>
        <v>623.60064</v>
      </c>
      <c r="H31">
        <f t="shared" si="3"/>
        <v>0.72176000000000007</v>
      </c>
    </row>
    <row r="32" spans="2:8">
      <c r="B32">
        <v>28</v>
      </c>
      <c r="C32" s="5">
        <v>1645.0977600000001</v>
      </c>
      <c r="D32">
        <v>557</v>
      </c>
      <c r="E32">
        <f t="shared" si="4"/>
        <v>7731.1600000000008</v>
      </c>
      <c r="F32">
        <f t="shared" si="5"/>
        <v>667972224.00000012</v>
      </c>
      <c r="G32">
        <f t="shared" si="6"/>
        <v>667.9722240000001</v>
      </c>
      <c r="H32">
        <f t="shared" si="3"/>
        <v>0.77311600000000003</v>
      </c>
    </row>
    <row r="33" spans="2:8">
      <c r="B33">
        <v>29</v>
      </c>
      <c r="C33" s="5">
        <v>2036.4627600000001</v>
      </c>
      <c r="D33">
        <v>612</v>
      </c>
      <c r="E33">
        <f t="shared" si="4"/>
        <v>8494.5600000000013</v>
      </c>
      <c r="F33">
        <f t="shared" si="5"/>
        <v>733929984.00000012</v>
      </c>
      <c r="G33">
        <f t="shared" si="6"/>
        <v>733.9299840000001</v>
      </c>
      <c r="H33">
        <f t="shared" si="3"/>
        <v>0.8494560000000001</v>
      </c>
    </row>
    <row r="34" spans="2:8">
      <c r="B34">
        <v>30</v>
      </c>
      <c r="C34" s="5">
        <v>1831.4276399999999</v>
      </c>
      <c r="D34">
        <v>601</v>
      </c>
      <c r="E34">
        <f t="shared" si="4"/>
        <v>8341.880000000001</v>
      </c>
      <c r="F34">
        <f t="shared" si="5"/>
        <v>720738432.00000012</v>
      </c>
      <c r="G34">
        <f t="shared" si="6"/>
        <v>720.7384320000001</v>
      </c>
      <c r="H34">
        <f t="shared" si="3"/>
        <v>0.83418800000000015</v>
      </c>
    </row>
    <row r="35" spans="2:8">
      <c r="B35">
        <v>31</v>
      </c>
      <c r="C35" s="5">
        <v>2282.7618000000002</v>
      </c>
      <c r="D35">
        <v>646</v>
      </c>
      <c r="E35">
        <f t="shared" si="4"/>
        <v>8966.4800000000014</v>
      </c>
      <c r="F35">
        <f t="shared" si="5"/>
        <v>774703872.00000012</v>
      </c>
      <c r="G35">
        <f t="shared" si="6"/>
        <v>774.70387200000005</v>
      </c>
      <c r="H35">
        <f t="shared" si="3"/>
        <v>0.89664800000000011</v>
      </c>
    </row>
    <row r="36" spans="2:8">
      <c r="B36">
        <v>32</v>
      </c>
      <c r="C36" s="5">
        <v>2638.0275600000004</v>
      </c>
      <c r="D36">
        <v>685</v>
      </c>
      <c r="E36">
        <f t="shared" si="4"/>
        <v>9507.8000000000011</v>
      </c>
      <c r="F36">
        <f t="shared" si="5"/>
        <v>821473920.00000012</v>
      </c>
      <c r="G36">
        <f t="shared" si="6"/>
        <v>821.47392000000013</v>
      </c>
      <c r="H36">
        <f t="shared" si="3"/>
        <v>0.95078000000000007</v>
      </c>
    </row>
    <row r="37" spans="2:8">
      <c r="B37">
        <v>33</v>
      </c>
      <c r="C37" s="5">
        <v>990.3207000000001</v>
      </c>
      <c r="D37">
        <v>501</v>
      </c>
      <c r="E37">
        <f t="shared" si="4"/>
        <v>6953.88</v>
      </c>
      <c r="F37">
        <f t="shared" si="5"/>
        <v>600815232</v>
      </c>
      <c r="G37">
        <f t="shared" si="6"/>
        <v>600.81523199999992</v>
      </c>
      <c r="H37">
        <f t="shared" si="3"/>
        <v>0.69538800000000001</v>
      </c>
    </row>
    <row r="38" spans="2:8">
      <c r="B38">
        <v>34</v>
      </c>
      <c r="C38" s="5">
        <v>270.91824000000003</v>
      </c>
      <c r="D38">
        <v>168</v>
      </c>
      <c r="E38">
        <f t="shared" si="4"/>
        <v>2331.84</v>
      </c>
      <c r="F38">
        <f t="shared" si="5"/>
        <v>201470976</v>
      </c>
      <c r="G38">
        <f t="shared" si="6"/>
        <v>201.47097599999998</v>
      </c>
      <c r="H38">
        <f t="shared" si="3"/>
        <v>0.233184</v>
      </c>
    </row>
    <row r="39" spans="2:8">
      <c r="B39">
        <v>35</v>
      </c>
      <c r="C39" s="5">
        <v>453.95663999999999</v>
      </c>
      <c r="D39">
        <v>397</v>
      </c>
      <c r="E39">
        <f t="shared" si="4"/>
        <v>5510.3600000000006</v>
      </c>
      <c r="F39">
        <f t="shared" si="5"/>
        <v>476095104.00000006</v>
      </c>
      <c r="G39">
        <f t="shared" si="6"/>
        <v>476.09510400000005</v>
      </c>
      <c r="H39">
        <f t="shared" si="3"/>
        <v>0.55103600000000008</v>
      </c>
    </row>
    <row r="40" spans="2:8">
      <c r="B40">
        <v>36</v>
      </c>
      <c r="C40" s="5">
        <v>1312.29702</v>
      </c>
      <c r="D40">
        <v>523</v>
      </c>
      <c r="E40">
        <f t="shared" si="4"/>
        <v>7259.2400000000007</v>
      </c>
      <c r="F40">
        <f t="shared" si="5"/>
        <v>627198336.00000012</v>
      </c>
      <c r="G40">
        <f t="shared" si="6"/>
        <v>627.19833600000004</v>
      </c>
      <c r="H40">
        <f t="shared" si="3"/>
        <v>0.72592400000000001</v>
      </c>
    </row>
    <row r="41" spans="2:8">
      <c r="B41">
        <v>37</v>
      </c>
      <c r="C41" s="5">
        <v>2007.8964600000002</v>
      </c>
      <c r="D41">
        <v>611</v>
      </c>
      <c r="E41">
        <f t="shared" si="4"/>
        <v>8480.68</v>
      </c>
      <c r="F41">
        <f t="shared" si="5"/>
        <v>732730752</v>
      </c>
      <c r="G41">
        <f t="shared" si="6"/>
        <v>732.73075199999994</v>
      </c>
      <c r="H41">
        <f t="shared" si="3"/>
        <v>0.84806800000000004</v>
      </c>
    </row>
    <row r="42" spans="2:8">
      <c r="B42">
        <v>38</v>
      </c>
      <c r="C42" s="5">
        <v>1008.7851000000001</v>
      </c>
      <c r="D42">
        <v>493</v>
      </c>
      <c r="E42">
        <f t="shared" si="4"/>
        <v>6842.84</v>
      </c>
      <c r="F42">
        <f t="shared" si="5"/>
        <v>591221376</v>
      </c>
      <c r="G42">
        <f t="shared" si="6"/>
        <v>591.22137599999996</v>
      </c>
      <c r="H42">
        <f t="shared" si="3"/>
        <v>0.684284</v>
      </c>
    </row>
    <row r="43" spans="2:8">
      <c r="B43">
        <v>39</v>
      </c>
      <c r="C43" s="5">
        <v>804.80700000000002</v>
      </c>
      <c r="D43">
        <v>468</v>
      </c>
      <c r="E43">
        <f t="shared" si="4"/>
        <v>6495.84</v>
      </c>
      <c r="F43">
        <f t="shared" si="5"/>
        <v>561240576</v>
      </c>
      <c r="G43">
        <f t="shared" si="6"/>
        <v>561.24057599999992</v>
      </c>
      <c r="H43">
        <f t="shared" si="3"/>
        <v>0.64958400000000005</v>
      </c>
    </row>
    <row r="44" spans="2:8">
      <c r="B44">
        <v>40</v>
      </c>
      <c r="C44" s="5">
        <v>1703.4479400000002</v>
      </c>
      <c r="D44">
        <v>586</v>
      </c>
      <c r="E44">
        <f t="shared" si="4"/>
        <v>8133.68</v>
      </c>
      <c r="F44">
        <f t="shared" si="5"/>
        <v>702749952</v>
      </c>
      <c r="G44">
        <f t="shared" si="6"/>
        <v>702.74995200000001</v>
      </c>
      <c r="H44">
        <f t="shared" si="3"/>
        <v>0.81336799999999998</v>
      </c>
    </row>
    <row r="45" spans="2:8">
      <c r="B45">
        <v>41</v>
      </c>
      <c r="C45" s="5">
        <v>2699.8164000000002</v>
      </c>
      <c r="D45">
        <v>693</v>
      </c>
      <c r="E45">
        <f t="shared" si="4"/>
        <v>9618.84</v>
      </c>
      <c r="F45">
        <f t="shared" si="5"/>
        <v>831067776</v>
      </c>
      <c r="G45">
        <f t="shared" si="6"/>
        <v>831.06777599999998</v>
      </c>
      <c r="H45">
        <f t="shared" si="3"/>
        <v>0.96188399999999996</v>
      </c>
    </row>
    <row r="46" spans="2:8">
      <c r="B46">
        <v>42</v>
      </c>
      <c r="C46" s="5">
        <v>2593.7397600000004</v>
      </c>
      <c r="D46">
        <v>674</v>
      </c>
      <c r="E46">
        <f t="shared" si="4"/>
        <v>9355.1200000000008</v>
      </c>
      <c r="F46">
        <f t="shared" si="5"/>
        <v>808282368.00000012</v>
      </c>
      <c r="G46">
        <f t="shared" si="6"/>
        <v>808.28236800000013</v>
      </c>
      <c r="H46">
        <f t="shared" si="3"/>
        <v>0.93551200000000012</v>
      </c>
    </row>
    <row r="47" spans="2:8">
      <c r="B47">
        <v>43</v>
      </c>
      <c r="C47" s="5">
        <v>402.51053999999999</v>
      </c>
      <c r="D47">
        <v>365</v>
      </c>
      <c r="E47">
        <f t="shared" si="4"/>
        <v>5066.2000000000007</v>
      </c>
      <c r="F47">
        <f t="shared" si="5"/>
        <v>437719680.00000006</v>
      </c>
      <c r="G47">
        <f t="shared" si="6"/>
        <v>437.71968000000004</v>
      </c>
      <c r="H47">
        <f t="shared" si="3"/>
        <v>0.50662000000000007</v>
      </c>
    </row>
    <row r="48" spans="2:8">
      <c r="B48">
        <v>44</v>
      </c>
      <c r="C48" s="5">
        <v>2521.3673400000002</v>
      </c>
      <c r="D48">
        <v>653</v>
      </c>
      <c r="E48">
        <f t="shared" si="4"/>
        <v>9063.6400000000012</v>
      </c>
      <c r="F48">
        <f t="shared" si="5"/>
        <v>783098496.00000012</v>
      </c>
      <c r="G48">
        <f t="shared" si="6"/>
        <v>783.09849600000007</v>
      </c>
      <c r="H48">
        <f t="shared" si="3"/>
        <v>0.90636400000000017</v>
      </c>
    </row>
    <row r="49" spans="2:8">
      <c r="B49">
        <v>45</v>
      </c>
      <c r="C49" s="5">
        <v>508.61394000000001</v>
      </c>
      <c r="D49">
        <v>411</v>
      </c>
      <c r="E49">
        <f t="shared" si="4"/>
        <v>5704.68</v>
      </c>
      <c r="F49">
        <f t="shared" si="5"/>
        <v>492884352</v>
      </c>
      <c r="G49">
        <f t="shared" si="6"/>
        <v>492.88435199999998</v>
      </c>
      <c r="H49">
        <f t="shared" si="3"/>
        <v>0.57046799999999998</v>
      </c>
    </row>
    <row r="50" spans="2:8">
      <c r="B50">
        <v>46</v>
      </c>
      <c r="C50" s="5">
        <v>407.59494000000007</v>
      </c>
      <c r="D50">
        <v>378</v>
      </c>
      <c r="E50">
        <f t="shared" si="4"/>
        <v>5246.64</v>
      </c>
      <c r="F50">
        <f t="shared" si="5"/>
        <v>453309696</v>
      </c>
      <c r="G50">
        <f t="shared" si="6"/>
        <v>453.30969599999997</v>
      </c>
      <c r="H50">
        <f t="shared" si="3"/>
        <v>0.52466400000000002</v>
      </c>
    </row>
    <row r="51" spans="2:8">
      <c r="B51">
        <v>47</v>
      </c>
      <c r="C51" s="5">
        <v>1659.6819600000001</v>
      </c>
      <c r="D51">
        <v>534</v>
      </c>
      <c r="E51">
        <f t="shared" si="4"/>
        <v>7411.92</v>
      </c>
      <c r="F51">
        <f t="shared" si="5"/>
        <v>640389888</v>
      </c>
      <c r="G51">
        <f t="shared" si="6"/>
        <v>640.38988799999993</v>
      </c>
      <c r="H51">
        <f t="shared" si="3"/>
        <v>0.74119199999999996</v>
      </c>
    </row>
    <row r="52" spans="2:8">
      <c r="B52">
        <v>48</v>
      </c>
      <c r="C52" s="5">
        <v>483.53982000000008</v>
      </c>
      <c r="D52">
        <v>396</v>
      </c>
      <c r="E52">
        <f t="shared" si="4"/>
        <v>5496.4800000000005</v>
      </c>
      <c r="F52">
        <f t="shared" si="5"/>
        <v>474895872.00000006</v>
      </c>
      <c r="G52">
        <f t="shared" si="6"/>
        <v>474.89587200000005</v>
      </c>
      <c r="H52">
        <f t="shared" si="3"/>
        <v>0.54964800000000003</v>
      </c>
    </row>
    <row r="53" spans="2:8">
      <c r="B53">
        <v>49</v>
      </c>
      <c r="C53" s="5">
        <v>613.48638000000005</v>
      </c>
      <c r="D53">
        <v>421</v>
      </c>
      <c r="E53">
        <f t="shared" si="4"/>
        <v>5843.4800000000005</v>
      </c>
      <c r="F53">
        <f t="shared" si="5"/>
        <v>504876672.00000006</v>
      </c>
      <c r="G53">
        <f t="shared" si="6"/>
        <v>504.87667200000004</v>
      </c>
      <c r="H53">
        <f t="shared" si="3"/>
        <v>0.58434800000000009</v>
      </c>
    </row>
    <row r="54" spans="2:8">
      <c r="B54">
        <v>50</v>
      </c>
      <c r="C54" s="5">
        <v>2123.3257199999998</v>
      </c>
      <c r="D54">
        <v>631</v>
      </c>
      <c r="E54">
        <f t="shared" si="4"/>
        <v>8758.2800000000007</v>
      </c>
      <c r="F54">
        <f t="shared" si="5"/>
        <v>756715392</v>
      </c>
      <c r="G54">
        <f t="shared" si="6"/>
        <v>756.71539199999995</v>
      </c>
      <c r="H54">
        <f t="shared" si="3"/>
        <v>0.87582800000000005</v>
      </c>
    </row>
    <row r="55" spans="2:8">
      <c r="B55" t="s">
        <v>26</v>
      </c>
      <c r="C55">
        <f t="shared" ref="C55:F55" si="7">AVERAGE(C5:C54)</f>
        <v>1217.6210072000001</v>
      </c>
      <c r="D55">
        <f t="shared" si="7"/>
        <v>466.34</v>
      </c>
      <c r="E55">
        <f t="shared" si="7"/>
        <v>6472.7992000000004</v>
      </c>
      <c r="F55">
        <f t="shared" si="7"/>
        <v>559249850.88</v>
      </c>
      <c r="G55">
        <f>AVERAGE(G5:G54)</f>
        <v>559.24985088000005</v>
      </c>
      <c r="H55">
        <f>AVERAGE(H5:H54)</f>
        <v>0.64727992000000034</v>
      </c>
    </row>
    <row r="56" spans="2:8">
      <c r="B56" t="s">
        <v>113</v>
      </c>
      <c r="C56">
        <f t="shared" ref="C56:F56" si="8">_xlfn.STDEV.S(C5:C54)</f>
        <v>724.07993354371558</v>
      </c>
      <c r="D56">
        <f t="shared" si="8"/>
        <v>148.67024323814707</v>
      </c>
      <c r="E56">
        <f t="shared" si="8"/>
        <v>2063.5429761454789</v>
      </c>
      <c r="F56">
        <f t="shared" si="8"/>
        <v>178290113.1389696</v>
      </c>
      <c r="G56">
        <f>_xlfn.STDEV.S(G5:G54)</f>
        <v>178.29011313896939</v>
      </c>
      <c r="H56">
        <f>_xlfn.STDEV.S(H5:H54)</f>
        <v>0.20635429761454693</v>
      </c>
    </row>
  </sheetData>
  <mergeCells count="1">
    <mergeCell ref="B1:C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01"/>
  <sheetViews>
    <sheetView workbookViewId="0">
      <selection activeCell="P30" sqref="P30"/>
    </sheetView>
  </sheetViews>
  <sheetFormatPr baseColWidth="10" defaultRowHeight="15"/>
  <sheetData>
    <row r="1" spans="1:13">
      <c r="A1" s="3" t="s">
        <v>63</v>
      </c>
      <c r="B1" s="3"/>
      <c r="C1" s="3"/>
      <c r="D1" s="3"/>
      <c r="E1" s="3"/>
      <c r="F1" s="3"/>
      <c r="G1" s="3"/>
      <c r="L1" s="3"/>
      <c r="M1" s="3"/>
    </row>
    <row r="2" spans="1:13">
      <c r="A2" s="3"/>
      <c r="B2" s="50" t="s">
        <v>60</v>
      </c>
      <c r="C2" s="50"/>
      <c r="D2" s="86" t="s">
        <v>61</v>
      </c>
      <c r="E2" s="86"/>
      <c r="F2" s="86" t="s">
        <v>62</v>
      </c>
      <c r="G2" s="86"/>
      <c r="L2" s="3"/>
      <c r="M2" s="3"/>
    </row>
    <row r="3" spans="1:13">
      <c r="A3" s="3" t="s">
        <v>59</v>
      </c>
      <c r="B3" s="3" t="s">
        <v>173</v>
      </c>
      <c r="C3" s="3" t="s">
        <v>54</v>
      </c>
      <c r="D3" s="3" t="s">
        <v>174</v>
      </c>
      <c r="E3" s="3" t="s">
        <v>54</v>
      </c>
      <c r="F3" s="3" t="s">
        <v>174</v>
      </c>
      <c r="G3" s="3" t="s">
        <v>54</v>
      </c>
      <c r="L3" s="3"/>
      <c r="M3" s="3"/>
    </row>
    <row r="4" spans="1:13">
      <c r="A4" s="3">
        <v>1</v>
      </c>
      <c r="B4" s="10">
        <v>250</v>
      </c>
      <c r="C4" s="10">
        <v>39.388235294117642</v>
      </c>
      <c r="D4" s="10">
        <v>916.66666666666674</v>
      </c>
      <c r="E4" s="10">
        <v>134.4</v>
      </c>
      <c r="F4" s="10">
        <v>402</v>
      </c>
      <c r="G4" s="10">
        <v>209.8656</v>
      </c>
      <c r="L4" s="3"/>
      <c r="M4" s="3"/>
    </row>
    <row r="5" spans="1:13">
      <c r="A5" s="3">
        <v>2</v>
      </c>
      <c r="B5" s="10">
        <v>310</v>
      </c>
      <c r="C5" s="10">
        <v>47.011764705882356</v>
      </c>
      <c r="D5" s="10">
        <v>246</v>
      </c>
      <c r="E5" s="10">
        <v>100.19999999999999</v>
      </c>
      <c r="F5" s="10">
        <v>1272</v>
      </c>
      <c r="G5" s="10">
        <v>520.46668799999998</v>
      </c>
      <c r="L5" s="3"/>
      <c r="M5" s="3"/>
    </row>
    <row r="6" spans="1:13">
      <c r="A6" s="3">
        <v>3</v>
      </c>
      <c r="B6" s="10">
        <v>250</v>
      </c>
      <c r="C6" s="10">
        <v>38.117647058823522</v>
      </c>
      <c r="D6" s="10">
        <v>791.66666666666674</v>
      </c>
      <c r="E6" s="10">
        <v>127.19999999999999</v>
      </c>
      <c r="F6" s="10">
        <v>567</v>
      </c>
      <c r="G6" s="10">
        <v>219.45945599999999</v>
      </c>
      <c r="L6" s="3"/>
      <c r="M6" s="3"/>
    </row>
    <row r="7" spans="1:13">
      <c r="A7" s="3">
        <v>4</v>
      </c>
      <c r="B7" s="10">
        <v>308</v>
      </c>
      <c r="C7" s="10">
        <v>66.07058823529411</v>
      </c>
      <c r="D7" s="10">
        <v>168</v>
      </c>
      <c r="E7" s="10">
        <v>116.39999999999999</v>
      </c>
      <c r="F7" s="10">
        <v>983</v>
      </c>
      <c r="G7" s="10">
        <v>416.13350400000002</v>
      </c>
      <c r="L7" s="3"/>
      <c r="M7" s="3"/>
    </row>
    <row r="8" spans="1:13">
      <c r="A8" s="3">
        <v>5</v>
      </c>
      <c r="B8" s="10">
        <v>100</v>
      </c>
      <c r="C8" s="10">
        <v>27.952941176470585</v>
      </c>
      <c r="D8" s="10">
        <v>194</v>
      </c>
      <c r="E8" s="10">
        <v>120</v>
      </c>
      <c r="F8" s="10">
        <v>513</v>
      </c>
      <c r="G8" s="10">
        <v>471.29817599999996</v>
      </c>
      <c r="L8" s="3"/>
      <c r="M8" s="3"/>
    </row>
    <row r="9" spans="1:13">
      <c r="A9" s="3">
        <v>6</v>
      </c>
      <c r="B9" s="10">
        <v>380</v>
      </c>
      <c r="C9" s="10">
        <v>58.447058823529403</v>
      </c>
      <c r="D9" s="10">
        <v>568</v>
      </c>
      <c r="E9" s="10">
        <v>73.8</v>
      </c>
      <c r="F9" s="10">
        <v>486</v>
      </c>
      <c r="G9" s="10">
        <v>376.55884800000007</v>
      </c>
      <c r="L9" s="3"/>
      <c r="M9" s="3"/>
    </row>
    <row r="10" spans="1:13">
      <c r="A10" s="3">
        <v>7</v>
      </c>
      <c r="B10" s="10">
        <v>200</v>
      </c>
      <c r="C10" s="10">
        <v>45.741176470588229</v>
      </c>
      <c r="D10" s="10">
        <v>479</v>
      </c>
      <c r="E10" s="10">
        <v>72.8</v>
      </c>
      <c r="F10" s="10">
        <v>196</v>
      </c>
      <c r="G10" s="10">
        <v>158.29862399999999</v>
      </c>
      <c r="L10" s="3"/>
      <c r="M10" s="3"/>
    </row>
    <row r="11" spans="1:13">
      <c r="A11" s="3">
        <v>8</v>
      </c>
      <c r="B11" s="10">
        <v>118</v>
      </c>
      <c r="C11" s="10">
        <v>26.682352941176468</v>
      </c>
      <c r="D11" s="10">
        <v>854</v>
      </c>
      <c r="E11" s="10">
        <v>74.399999999999991</v>
      </c>
      <c r="F11" s="10">
        <v>895</v>
      </c>
      <c r="G11" s="10">
        <v>429.32505599999996</v>
      </c>
      <c r="L11" s="3"/>
      <c r="M11" s="3"/>
    </row>
    <row r="12" spans="1:13">
      <c r="A12" s="3">
        <v>9</v>
      </c>
      <c r="B12" s="10">
        <v>107</v>
      </c>
      <c r="C12" s="10">
        <v>29.223529411764702</v>
      </c>
      <c r="D12" s="10">
        <v>211</v>
      </c>
      <c r="E12" s="10">
        <v>66</v>
      </c>
      <c r="F12" s="10">
        <v>387</v>
      </c>
      <c r="G12" s="10">
        <v>418.53196800000001</v>
      </c>
      <c r="L12" s="3"/>
      <c r="M12" s="3"/>
    </row>
    <row r="13" spans="1:13">
      <c r="A13" s="3">
        <v>10</v>
      </c>
      <c r="B13" s="10">
        <v>305</v>
      </c>
      <c r="C13" s="10">
        <v>48.282352941176462</v>
      </c>
      <c r="D13" s="10">
        <v>986.11111111111109</v>
      </c>
      <c r="E13" s="10">
        <v>93.999999999999986</v>
      </c>
      <c r="F13" s="10">
        <v>354</v>
      </c>
      <c r="G13" s="10">
        <v>199.07251199999999</v>
      </c>
      <c r="L13" s="3"/>
      <c r="M13" s="3"/>
    </row>
    <row r="14" spans="1:13">
      <c r="A14" s="3">
        <v>11</v>
      </c>
      <c r="B14" s="10">
        <v>517</v>
      </c>
      <c r="C14" s="10">
        <v>68.611764705882351</v>
      </c>
      <c r="D14" s="10">
        <v>697</v>
      </c>
      <c r="E14" s="10">
        <v>68.8</v>
      </c>
      <c r="F14" s="10">
        <v>421</v>
      </c>
      <c r="G14" s="10">
        <v>209.8656</v>
      </c>
      <c r="L14" s="3"/>
      <c r="M14" s="3"/>
    </row>
    <row r="15" spans="1:13">
      <c r="A15" s="3">
        <v>12</v>
      </c>
      <c r="B15" s="10">
        <v>640</v>
      </c>
      <c r="C15" s="10">
        <v>72.423529411764704</v>
      </c>
      <c r="D15" s="10">
        <v>387</v>
      </c>
      <c r="E15" s="10">
        <v>74</v>
      </c>
      <c r="F15" s="10">
        <v>1078</v>
      </c>
      <c r="G15" s="10">
        <v>587.62368000000015</v>
      </c>
      <c r="L15" s="3"/>
      <c r="M15" s="3"/>
    </row>
    <row r="16" spans="1:13">
      <c r="A16" s="3">
        <v>13</v>
      </c>
      <c r="B16" s="10">
        <v>1600</v>
      </c>
      <c r="C16" s="10">
        <v>102.9176470588235</v>
      </c>
      <c r="D16" s="10">
        <v>256</v>
      </c>
      <c r="E16" s="10">
        <v>62.400000000000006</v>
      </c>
      <c r="F16" s="10">
        <v>1597</v>
      </c>
      <c r="G16" s="10">
        <v>675.16761599999995</v>
      </c>
      <c r="L16" s="3"/>
      <c r="M16" s="3"/>
    </row>
    <row r="17" spans="1:13">
      <c r="A17" s="3">
        <v>14</v>
      </c>
      <c r="B17" s="10">
        <v>102</v>
      </c>
      <c r="C17" s="10">
        <v>22.870588235294115</v>
      </c>
      <c r="D17" s="10">
        <v>758</v>
      </c>
      <c r="E17" s="10">
        <v>96.8</v>
      </c>
      <c r="F17" s="10">
        <v>1593.6249000000003</v>
      </c>
      <c r="G17" s="10">
        <v>651.18297599999994</v>
      </c>
      <c r="L17" s="3"/>
      <c r="M17" s="3"/>
    </row>
    <row r="18" spans="1:13">
      <c r="A18" s="3">
        <v>15</v>
      </c>
      <c r="B18" s="10">
        <v>356</v>
      </c>
      <c r="C18" s="10">
        <v>52.094117647058809</v>
      </c>
      <c r="D18" s="10">
        <v>885</v>
      </c>
      <c r="E18" s="10">
        <v>116.39999999999999</v>
      </c>
      <c r="F18" s="10">
        <v>1692.5298600000001</v>
      </c>
      <c r="G18" s="10">
        <v>688.35916800000007</v>
      </c>
      <c r="L18" s="3"/>
      <c r="M18" s="3"/>
    </row>
    <row r="19" spans="1:13">
      <c r="A19" s="3">
        <v>16</v>
      </c>
      <c r="B19" s="10">
        <v>102</v>
      </c>
      <c r="C19" s="10">
        <v>30.494117647058822</v>
      </c>
      <c r="D19" s="10">
        <v>1250</v>
      </c>
      <c r="E19" s="10">
        <v>114.8</v>
      </c>
      <c r="F19" s="10">
        <v>2332.5354000000002</v>
      </c>
      <c r="G19" s="10">
        <v>781.89926400000002</v>
      </c>
      <c r="L19" s="3"/>
      <c r="M19" s="3"/>
    </row>
    <row r="20" spans="1:13">
      <c r="A20" s="3">
        <v>17</v>
      </c>
      <c r="B20" s="10">
        <v>156</v>
      </c>
      <c r="C20" s="10">
        <v>35.576470588235296</v>
      </c>
      <c r="D20" s="10">
        <v>743</v>
      </c>
      <c r="E20" s="10">
        <v>104.39999999999999</v>
      </c>
      <c r="F20" s="10">
        <v>1808.58798</v>
      </c>
      <c r="G20" s="10">
        <v>717.14073599999995</v>
      </c>
      <c r="L20" s="3"/>
      <c r="M20" s="3"/>
    </row>
    <row r="21" spans="1:13">
      <c r="A21" s="3">
        <v>18</v>
      </c>
      <c r="B21" s="10">
        <v>206</v>
      </c>
      <c r="C21" s="10">
        <v>43.199999999999996</v>
      </c>
      <c r="D21" s="10">
        <v>502</v>
      </c>
      <c r="E21" s="10">
        <v>80.399999999999991</v>
      </c>
      <c r="F21" s="10">
        <v>776.92308000000003</v>
      </c>
      <c r="G21" s="10">
        <v>539.65440000000001</v>
      </c>
      <c r="L21" s="3"/>
      <c r="M21" s="3"/>
    </row>
    <row r="22" spans="1:13">
      <c r="A22" s="3">
        <v>19</v>
      </c>
      <c r="B22" s="10">
        <v>237</v>
      </c>
      <c r="C22" s="10">
        <v>47.011764705882356</v>
      </c>
      <c r="D22" s="10">
        <v>694.44444444444446</v>
      </c>
      <c r="E22" s="10">
        <v>99.6</v>
      </c>
      <c r="F22" s="10">
        <v>620.28342000000009</v>
      </c>
      <c r="G22" s="10">
        <v>534.85747200000003</v>
      </c>
      <c r="L22" s="3"/>
      <c r="M22" s="3"/>
    </row>
    <row r="23" spans="1:13">
      <c r="A23" s="3">
        <v>20</v>
      </c>
      <c r="B23" s="10">
        <v>583</v>
      </c>
      <c r="C23" s="10">
        <v>57.176470588235297</v>
      </c>
      <c r="D23" s="10">
        <v>319.44444444444446</v>
      </c>
      <c r="E23" s="10">
        <v>62</v>
      </c>
      <c r="F23" s="10">
        <v>1145.7561600000001</v>
      </c>
      <c r="G23" s="10">
        <v>561.24057599999992</v>
      </c>
      <c r="L23" s="3"/>
      <c r="M23" s="3"/>
    </row>
    <row r="24" spans="1:13">
      <c r="A24" s="3">
        <v>21</v>
      </c>
      <c r="B24" s="10">
        <v>126</v>
      </c>
      <c r="C24" s="10">
        <v>24.141176470588231</v>
      </c>
      <c r="D24" s="10">
        <v>1166.6666666666667</v>
      </c>
      <c r="E24" s="10">
        <v>169.2</v>
      </c>
      <c r="F24" s="10">
        <v>1249.90608</v>
      </c>
      <c r="G24" s="10">
        <v>625.99910399999999</v>
      </c>
      <c r="L24" s="3"/>
      <c r="M24" s="3"/>
    </row>
    <row r="25" spans="1:13">
      <c r="A25" s="3">
        <v>22</v>
      </c>
      <c r="B25" s="10">
        <v>984</v>
      </c>
      <c r="C25" s="10">
        <v>71.152941176470591</v>
      </c>
      <c r="D25" s="10">
        <v>583.33333333333337</v>
      </c>
      <c r="E25" s="10">
        <v>122.39999999999999</v>
      </c>
      <c r="F25" s="10">
        <v>991.23054000000002</v>
      </c>
      <c r="G25" s="10">
        <v>526.46284800000001</v>
      </c>
      <c r="L25" s="3"/>
      <c r="M25" s="3"/>
    </row>
    <row r="26" spans="1:13">
      <c r="A26" s="3">
        <v>23</v>
      </c>
      <c r="B26" s="10">
        <v>671</v>
      </c>
      <c r="C26" s="10">
        <v>68.611764705882351</v>
      </c>
      <c r="D26" s="10">
        <v>401</v>
      </c>
      <c r="E26" s="10">
        <v>111.6</v>
      </c>
      <c r="F26" s="10">
        <v>787.03836000000013</v>
      </c>
      <c r="G26" s="10">
        <v>507.27513600000003</v>
      </c>
      <c r="L26" s="3"/>
      <c r="M26" s="3"/>
    </row>
    <row r="27" spans="1:13">
      <c r="A27" s="3">
        <v>24</v>
      </c>
      <c r="B27" s="10">
        <v>165</v>
      </c>
      <c r="C27" s="10">
        <v>24.141176470588231</v>
      </c>
      <c r="D27" s="10">
        <v>387</v>
      </c>
      <c r="E27" s="10">
        <v>78</v>
      </c>
      <c r="F27" s="10">
        <v>931.90362000000005</v>
      </c>
      <c r="G27" s="10">
        <v>582.82675199999994</v>
      </c>
      <c r="L27" s="3"/>
      <c r="M27" s="3"/>
    </row>
    <row r="28" spans="1:13">
      <c r="A28" s="3">
        <v>25</v>
      </c>
      <c r="B28" s="10">
        <v>279</v>
      </c>
      <c r="C28" s="10">
        <v>45.741176470588229</v>
      </c>
      <c r="D28" s="10">
        <v>236</v>
      </c>
      <c r="E28" s="10">
        <v>51.600000000000009</v>
      </c>
      <c r="F28" s="10">
        <v>2049.0265800000002</v>
      </c>
      <c r="G28" s="10">
        <v>730.33228799999995</v>
      </c>
      <c r="L28" s="3"/>
      <c r="M28" s="3"/>
    </row>
    <row r="29" spans="1:13">
      <c r="A29" s="3">
        <v>26</v>
      </c>
      <c r="B29" s="10">
        <v>1208</v>
      </c>
      <c r="C29" s="10">
        <v>85.129411764705878</v>
      </c>
      <c r="D29" s="10">
        <v>750</v>
      </c>
      <c r="E29" s="10">
        <v>87.6</v>
      </c>
      <c r="F29" s="10">
        <v>1264.1691600000001</v>
      </c>
      <c r="G29" s="10">
        <v>604.41292799999997</v>
      </c>
      <c r="L29" s="3"/>
      <c r="M29" s="3"/>
    </row>
    <row r="30" spans="1:13">
      <c r="A30" s="3">
        <v>27</v>
      </c>
      <c r="B30" s="10">
        <v>1014</v>
      </c>
      <c r="C30" s="10">
        <v>74.964705882352931</v>
      </c>
      <c r="D30" s="10">
        <v>833.33333333333337</v>
      </c>
      <c r="E30" s="10">
        <v>119.60000000000001</v>
      </c>
      <c r="F30" s="10">
        <v>1486.6518000000001</v>
      </c>
      <c r="G30" s="10">
        <v>623.60064</v>
      </c>
      <c r="L30" s="3"/>
      <c r="M30" s="3"/>
    </row>
    <row r="31" spans="1:13">
      <c r="A31" s="3">
        <v>28</v>
      </c>
      <c r="B31" s="10">
        <v>371</v>
      </c>
      <c r="C31" s="10">
        <v>48.282352941176462</v>
      </c>
      <c r="D31" s="10">
        <v>1472.2222222222222</v>
      </c>
      <c r="E31" s="10">
        <v>91.200000000000017</v>
      </c>
      <c r="F31" s="10">
        <v>1645.0977600000001</v>
      </c>
      <c r="G31" s="10">
        <v>667.9722240000001</v>
      </c>
      <c r="L31" s="3"/>
      <c r="M31" s="3"/>
    </row>
    <row r="32" spans="1:13">
      <c r="A32" s="3">
        <v>29</v>
      </c>
      <c r="B32" s="10">
        <v>481</v>
      </c>
      <c r="C32" s="10">
        <v>50.823529411764703</v>
      </c>
      <c r="D32" s="10">
        <v>132</v>
      </c>
      <c r="E32" s="10">
        <v>31.799999999999997</v>
      </c>
      <c r="F32" s="10">
        <v>2036.4627600000001</v>
      </c>
      <c r="G32" s="10">
        <v>733.9299840000001</v>
      </c>
      <c r="L32" s="3"/>
      <c r="M32" s="3"/>
    </row>
    <row r="33" spans="1:13">
      <c r="A33" s="3">
        <v>30</v>
      </c>
      <c r="B33" s="10">
        <v>196</v>
      </c>
      <c r="C33" s="10">
        <v>40.658823529411762</v>
      </c>
      <c r="D33" s="10">
        <v>301</v>
      </c>
      <c r="E33" s="10">
        <v>59.4</v>
      </c>
      <c r="F33" s="10">
        <v>1831.4276399999999</v>
      </c>
      <c r="G33" s="10">
        <v>720.7384320000001</v>
      </c>
      <c r="L33" s="3"/>
      <c r="M33" s="3"/>
    </row>
    <row r="34" spans="1:13">
      <c r="A34" s="3">
        <v>31</v>
      </c>
      <c r="B34" s="10">
        <v>146</v>
      </c>
      <c r="C34" s="10">
        <v>35.576470588235296</v>
      </c>
      <c r="D34" s="10">
        <v>1069.4444444444446</v>
      </c>
      <c r="E34" s="10">
        <v>128.4</v>
      </c>
      <c r="F34" s="10">
        <v>2282.7618000000002</v>
      </c>
      <c r="G34" s="10">
        <v>774.70387200000005</v>
      </c>
      <c r="L34" s="3"/>
      <c r="M34" s="3"/>
    </row>
    <row r="35" spans="1:13">
      <c r="A35" s="3">
        <v>32</v>
      </c>
      <c r="B35" s="10">
        <v>725</v>
      </c>
      <c r="C35" s="10">
        <v>72.423529411764704</v>
      </c>
      <c r="D35" s="10">
        <v>527.77777777777783</v>
      </c>
      <c r="E35" s="10">
        <v>72</v>
      </c>
      <c r="F35" s="10">
        <v>2638.0275600000004</v>
      </c>
      <c r="G35" s="10">
        <v>821.47392000000013</v>
      </c>
      <c r="L35" s="3"/>
      <c r="M35" s="3"/>
    </row>
    <row r="36" spans="1:13">
      <c r="A36" s="3">
        <v>33</v>
      </c>
      <c r="B36" s="10">
        <v>991</v>
      </c>
      <c r="C36" s="10">
        <v>69.88235294117645</v>
      </c>
      <c r="D36" s="10">
        <v>1680.55555555556</v>
      </c>
      <c r="E36" s="10">
        <v>116.79999999999998</v>
      </c>
      <c r="F36" s="10">
        <v>990.3207000000001</v>
      </c>
      <c r="G36" s="10">
        <v>600.81523199999992</v>
      </c>
      <c r="L36" s="3"/>
      <c r="M36" s="3"/>
    </row>
    <row r="37" spans="1:13">
      <c r="A37" s="3">
        <v>34</v>
      </c>
      <c r="B37" s="10">
        <v>274</v>
      </c>
      <c r="C37" s="10">
        <v>31.764705882352938</v>
      </c>
      <c r="D37" s="10">
        <v>597.22222222222229</v>
      </c>
      <c r="E37" s="10">
        <v>63.599999999999994</v>
      </c>
      <c r="F37" s="10">
        <v>270.91824000000003</v>
      </c>
      <c r="G37" s="10">
        <v>201.47097599999998</v>
      </c>
      <c r="L37" s="3"/>
      <c r="M37" s="3"/>
    </row>
    <row r="38" spans="1:13">
      <c r="A38" s="3">
        <v>35</v>
      </c>
      <c r="B38" s="10">
        <v>174</v>
      </c>
      <c r="C38" s="10">
        <v>26.682352941176468</v>
      </c>
      <c r="D38" s="10">
        <v>1250</v>
      </c>
      <c r="E38" s="10">
        <v>76.2</v>
      </c>
      <c r="F38" s="10">
        <v>453.95663999999999</v>
      </c>
      <c r="G38" s="10">
        <v>476.09510400000005</v>
      </c>
      <c r="L38" s="3"/>
      <c r="M38" s="3"/>
    </row>
    <row r="39" spans="1:13">
      <c r="A39" s="3">
        <v>36</v>
      </c>
      <c r="B39" s="10">
        <v>185</v>
      </c>
      <c r="C39" s="10">
        <v>25.411764705882351</v>
      </c>
      <c r="D39" s="10">
        <v>916.66666666666674</v>
      </c>
      <c r="E39" s="10">
        <v>82.5</v>
      </c>
      <c r="F39" s="10">
        <v>1312.29702</v>
      </c>
      <c r="G39" s="10">
        <v>627.19833600000004</v>
      </c>
      <c r="L39" s="3"/>
      <c r="M39" s="3"/>
    </row>
    <row r="40" spans="1:13">
      <c r="A40" s="3">
        <v>37</v>
      </c>
      <c r="B40" s="10">
        <v>559</v>
      </c>
      <c r="C40" s="10">
        <v>69.88235294117645</v>
      </c>
      <c r="D40" s="10">
        <v>500</v>
      </c>
      <c r="E40" s="10">
        <v>60</v>
      </c>
      <c r="F40" s="10">
        <v>2007.8964600000002</v>
      </c>
      <c r="G40" s="10">
        <v>732.73075199999994</v>
      </c>
      <c r="L40" s="3"/>
      <c r="M40" s="3"/>
    </row>
    <row r="41" spans="1:13">
      <c r="A41" s="3">
        <v>38</v>
      </c>
      <c r="B41" s="10">
        <v>863</v>
      </c>
      <c r="C41" s="10">
        <v>74.964705882352931</v>
      </c>
      <c r="D41" s="10">
        <v>805.55555555555554</v>
      </c>
      <c r="E41" s="10">
        <v>97.199999999999989</v>
      </c>
      <c r="F41" s="10">
        <v>1008.7851000000001</v>
      </c>
      <c r="G41" s="10">
        <v>591.22137599999996</v>
      </c>
      <c r="L41" s="3"/>
      <c r="M41" s="3"/>
    </row>
    <row r="42" spans="1:13">
      <c r="A42" s="3">
        <v>39</v>
      </c>
      <c r="B42" s="10">
        <v>1050</v>
      </c>
      <c r="C42" s="10">
        <v>81.317647058823525</v>
      </c>
      <c r="D42" s="10">
        <v>1208.3333333333333</v>
      </c>
      <c r="E42" s="10">
        <v>61.800000000000004</v>
      </c>
      <c r="F42" s="10">
        <v>804.80700000000002</v>
      </c>
      <c r="G42" s="10">
        <v>561.24057599999992</v>
      </c>
      <c r="L42" s="3"/>
      <c r="M42" s="3"/>
    </row>
    <row r="43" spans="1:13">
      <c r="A43" s="3">
        <v>40</v>
      </c>
      <c r="B43" s="10">
        <v>3195</v>
      </c>
      <c r="C43" s="10">
        <v>87.670588235294119</v>
      </c>
      <c r="D43" s="10">
        <v>303</v>
      </c>
      <c r="E43" s="10">
        <v>58.8</v>
      </c>
      <c r="F43" s="10">
        <v>1703.4479400000002</v>
      </c>
      <c r="G43" s="10">
        <v>702.74995200000001</v>
      </c>
      <c r="L43" s="3"/>
      <c r="M43" s="3"/>
    </row>
    <row r="44" spans="1:13">
      <c r="A44" s="3">
        <v>41</v>
      </c>
      <c r="B44" s="10">
        <v>409</v>
      </c>
      <c r="C44" s="10">
        <v>49.552941176470583</v>
      </c>
      <c r="D44" s="10">
        <v>708</v>
      </c>
      <c r="E44" s="10">
        <v>72</v>
      </c>
      <c r="F44" s="10">
        <v>2699.8164000000002</v>
      </c>
      <c r="G44" s="10">
        <v>831.06777599999998</v>
      </c>
      <c r="L44" s="3"/>
      <c r="M44" s="3"/>
    </row>
    <row r="45" spans="1:13">
      <c r="A45" s="3">
        <v>42</v>
      </c>
      <c r="B45" s="10">
        <v>1965</v>
      </c>
      <c r="C45" s="10">
        <v>90.211764705882331</v>
      </c>
      <c r="D45" s="10">
        <v>984</v>
      </c>
      <c r="E45" s="10">
        <v>98.399999999999991</v>
      </c>
      <c r="F45" s="10">
        <v>2593.7397600000004</v>
      </c>
      <c r="G45" s="10">
        <v>808.28236800000013</v>
      </c>
      <c r="L45" s="3"/>
      <c r="M45" s="3"/>
    </row>
    <row r="46" spans="1:13">
      <c r="A46" s="3">
        <v>43</v>
      </c>
      <c r="B46" s="10">
        <v>2705</v>
      </c>
      <c r="C46" s="10">
        <v>94.023529411764713</v>
      </c>
      <c r="D46" s="10">
        <v>1194</v>
      </c>
      <c r="E46" s="10">
        <v>106.8</v>
      </c>
      <c r="F46" s="10">
        <v>402.51053999999999</v>
      </c>
      <c r="G46" s="10">
        <v>437.71968000000004</v>
      </c>
      <c r="L46" s="3"/>
      <c r="M46" s="3"/>
    </row>
    <row r="47" spans="1:13">
      <c r="A47" s="3">
        <v>44</v>
      </c>
      <c r="B47" s="10">
        <v>295</v>
      </c>
      <c r="C47" s="10">
        <v>29.223529411764702</v>
      </c>
      <c r="D47" s="10">
        <v>1482</v>
      </c>
      <c r="E47" s="10">
        <v>117.6</v>
      </c>
      <c r="F47" s="10">
        <v>2521.3673400000002</v>
      </c>
      <c r="G47" s="10">
        <v>783.09849600000007</v>
      </c>
      <c r="L47" s="3"/>
      <c r="M47" s="3"/>
    </row>
    <row r="48" spans="1:13">
      <c r="A48" s="3">
        <v>45</v>
      </c>
      <c r="B48" s="10">
        <v>694</v>
      </c>
      <c r="C48" s="10">
        <v>73.694117647058818</v>
      </c>
      <c r="D48" s="10">
        <v>263</v>
      </c>
      <c r="E48" s="10">
        <v>52.8</v>
      </c>
      <c r="F48" s="10">
        <v>508.61394000000001</v>
      </c>
      <c r="G48" s="10">
        <v>492.88435199999998</v>
      </c>
      <c r="L48" s="3"/>
      <c r="M48" s="3"/>
    </row>
    <row r="49" spans="1:13">
      <c r="A49" s="3">
        <v>46</v>
      </c>
      <c r="B49" s="10">
        <v>571</v>
      </c>
      <c r="C49" s="10">
        <v>59.717647058823523</v>
      </c>
      <c r="D49" s="10">
        <v>969</v>
      </c>
      <c r="E49" s="10">
        <v>108</v>
      </c>
      <c r="F49" s="10">
        <v>407.59494000000007</v>
      </c>
      <c r="G49" s="10">
        <v>453.30969599999997</v>
      </c>
      <c r="L49" s="3"/>
      <c r="M49" s="3"/>
    </row>
    <row r="50" spans="1:13">
      <c r="A50" s="3">
        <v>47</v>
      </c>
      <c r="B50" s="10">
        <v>152</v>
      </c>
      <c r="C50" s="10">
        <v>29.223529411764702</v>
      </c>
      <c r="D50" s="10">
        <v>518</v>
      </c>
      <c r="E50" s="10">
        <v>61.199999999999996</v>
      </c>
      <c r="F50" s="10">
        <v>1659.6819600000001</v>
      </c>
      <c r="G50" s="10">
        <v>640.38988799999993</v>
      </c>
      <c r="L50" s="3"/>
      <c r="M50" s="3"/>
    </row>
    <row r="51" spans="1:13">
      <c r="A51" s="3">
        <v>48</v>
      </c>
      <c r="B51" s="10">
        <v>196</v>
      </c>
      <c r="C51" s="10">
        <v>31.764705882352938</v>
      </c>
      <c r="D51" s="10">
        <v>1291</v>
      </c>
      <c r="E51" s="10">
        <v>123.60000000000001</v>
      </c>
      <c r="F51" s="10">
        <v>483.53982000000008</v>
      </c>
      <c r="G51" s="10">
        <v>474.89587200000005</v>
      </c>
      <c r="L51" s="3"/>
      <c r="M51" s="3"/>
    </row>
    <row r="52" spans="1:13">
      <c r="A52" s="3">
        <v>49</v>
      </c>
      <c r="B52" s="10">
        <v>4951</v>
      </c>
      <c r="C52" s="10">
        <v>100.37647058823528</v>
      </c>
      <c r="D52" s="10">
        <v>659</v>
      </c>
      <c r="E52" s="10">
        <v>85.2</v>
      </c>
      <c r="F52" s="10">
        <v>613.48638000000005</v>
      </c>
      <c r="G52" s="10">
        <v>504.87667200000004</v>
      </c>
      <c r="L52" s="3"/>
      <c r="M52" s="3"/>
    </row>
    <row r="53" spans="1:13">
      <c r="A53" s="3">
        <v>50</v>
      </c>
      <c r="B53" s="10">
        <v>831</v>
      </c>
      <c r="C53" s="10">
        <v>45.741176470588229</v>
      </c>
      <c r="D53" s="10">
        <v>1037</v>
      </c>
      <c r="E53" s="10">
        <v>111.6</v>
      </c>
      <c r="F53" s="10">
        <v>2123.3257199999998</v>
      </c>
      <c r="G53" s="10">
        <v>756.71539199999995</v>
      </c>
      <c r="L53" s="3"/>
      <c r="M53" s="3"/>
    </row>
    <row r="54" spans="1:13">
      <c r="A54" s="3" t="s">
        <v>38</v>
      </c>
      <c r="B54" s="5">
        <f>MIN(B4:B53)</f>
        <v>100</v>
      </c>
      <c r="C54" s="5">
        <f t="shared" ref="C54:G54" si="0">MIN(C4:C53)</f>
        <v>22.870588235294115</v>
      </c>
      <c r="D54" s="5">
        <f t="shared" si="0"/>
        <v>132</v>
      </c>
      <c r="E54" s="5">
        <f t="shared" si="0"/>
        <v>31.799999999999997</v>
      </c>
      <c r="F54" s="5">
        <f t="shared" si="0"/>
        <v>196</v>
      </c>
      <c r="G54" s="5">
        <f t="shared" si="0"/>
        <v>158.29862399999999</v>
      </c>
      <c r="L54" s="3"/>
      <c r="M54" s="3"/>
    </row>
    <row r="55" spans="1:13">
      <c r="A55" s="3" t="s">
        <v>39</v>
      </c>
      <c r="B55" s="5">
        <f>MAX(B4:B53)</f>
        <v>4951</v>
      </c>
      <c r="C55" s="5">
        <f t="shared" ref="C55:G55" si="1">MAX(C4:C53)</f>
        <v>102.9176470588235</v>
      </c>
      <c r="D55" s="5">
        <f t="shared" si="1"/>
        <v>1680.55555555556</v>
      </c>
      <c r="E55" s="5">
        <f t="shared" si="1"/>
        <v>169.2</v>
      </c>
      <c r="F55" s="5">
        <f t="shared" si="1"/>
        <v>2699.8164000000002</v>
      </c>
      <c r="G55" s="5">
        <f t="shared" si="1"/>
        <v>831.06777599999998</v>
      </c>
      <c r="L55" s="3"/>
      <c r="M55" s="3"/>
    </row>
    <row r="56" spans="1:13">
      <c r="A56" s="3" t="s">
        <v>41</v>
      </c>
      <c r="B56" s="10">
        <f>MEDIAN(B4:B53)</f>
        <v>333</v>
      </c>
      <c r="C56" s="10">
        <f t="shared" ref="C56:G56" si="2">MEDIAN(C4:C53)</f>
        <v>48.282352941176462</v>
      </c>
      <c r="D56" s="10">
        <f t="shared" si="2"/>
        <v>702.5</v>
      </c>
      <c r="E56" s="10">
        <f t="shared" si="2"/>
        <v>89.4</v>
      </c>
      <c r="F56" s="10">
        <f t="shared" si="2"/>
        <v>1043.39255</v>
      </c>
      <c r="G56" s="10">
        <f t="shared" si="2"/>
        <v>585.22521600000005</v>
      </c>
      <c r="L56" s="3"/>
      <c r="M56" s="3"/>
    </row>
    <row r="57" spans="1:13">
      <c r="A57" s="3" t="s">
        <v>24</v>
      </c>
      <c r="B57" s="10">
        <f>AVERAGE(B4:B53)</f>
        <v>665.06</v>
      </c>
      <c r="C57" s="10">
        <f t="shared" ref="C57:G57" si="3">AVERAGE(C4:C53)</f>
        <v>53.44094117647056</v>
      </c>
      <c r="D57" s="10">
        <f t="shared" si="3"/>
        <v>722.64888888888902</v>
      </c>
      <c r="E57" s="10">
        <f t="shared" si="3"/>
        <v>90.714000000000013</v>
      </c>
      <c r="F57" s="10">
        <f t="shared" si="3"/>
        <v>1217.6210072000001</v>
      </c>
      <c r="G57" s="10">
        <f t="shared" si="3"/>
        <v>559.24985088000005</v>
      </c>
      <c r="L57" s="3"/>
      <c r="M57" s="3"/>
    </row>
    <row r="58" spans="1:13">
      <c r="A58" s="3" t="s">
        <v>113</v>
      </c>
      <c r="B58" s="3">
        <f>_xlfn.STDEV.S(B4:B53)</f>
        <v>884.51751889066043</v>
      </c>
      <c r="C58" s="3">
        <f>_xlfn.STDEV.S(C4:C53)</f>
        <v>22.421634291189303</v>
      </c>
      <c r="D58" s="3">
        <f t="shared" ref="D58:G58" si="4">_xlfn.STDEV.S(D4:D53)</f>
        <v>388.39007748037346</v>
      </c>
      <c r="E58" s="3">
        <f t="shared" si="4"/>
        <v>27.410455401290225</v>
      </c>
      <c r="F58" s="3">
        <f t="shared" si="4"/>
        <v>724.07993354371558</v>
      </c>
      <c r="G58" s="3">
        <f t="shared" si="4"/>
        <v>178.29011313896939</v>
      </c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L101" s="3"/>
      <c r="M101" s="3"/>
    </row>
  </sheetData>
  <mergeCells count="2">
    <mergeCell ref="D2:E2"/>
    <mergeCell ref="F2:G2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F14"/>
  <sheetViews>
    <sheetView workbookViewId="0">
      <selection activeCell="N30" sqref="N30"/>
    </sheetView>
  </sheetViews>
  <sheetFormatPr baseColWidth="10" defaultRowHeight="15"/>
  <sheetData>
    <row r="2" spans="1:6">
      <c r="A2" s="15" t="s">
        <v>71</v>
      </c>
      <c r="B2" s="14"/>
      <c r="C2" s="15" t="s">
        <v>72</v>
      </c>
      <c r="D2" s="15"/>
      <c r="E2" s="15" t="s">
        <v>72</v>
      </c>
      <c r="F2" s="15"/>
    </row>
    <row r="3" spans="1:6">
      <c r="A3" s="15"/>
      <c r="B3" s="15"/>
      <c r="C3" s="15"/>
      <c r="D3" s="15"/>
      <c r="E3" s="15"/>
      <c r="F3" s="15"/>
    </row>
    <row r="4" spans="1:6">
      <c r="A4" s="15"/>
      <c r="B4" s="15" t="s">
        <v>65</v>
      </c>
      <c r="C4" s="71" t="s">
        <v>172</v>
      </c>
      <c r="D4" s="80"/>
      <c r="E4" s="71" t="s">
        <v>171</v>
      </c>
      <c r="F4" s="80"/>
    </row>
    <row r="5" spans="1:6">
      <c r="A5" s="15"/>
      <c r="B5" s="15"/>
      <c r="C5" s="15" t="s">
        <v>66</v>
      </c>
      <c r="D5" s="15" t="s">
        <v>26</v>
      </c>
      <c r="E5" s="15" t="s">
        <v>67</v>
      </c>
      <c r="F5" s="15" t="s">
        <v>26</v>
      </c>
    </row>
    <row r="6" spans="1:6">
      <c r="A6" s="15" t="s">
        <v>68</v>
      </c>
      <c r="B6" s="15">
        <v>1</v>
      </c>
      <c r="C6" s="15">
        <v>0.6</v>
      </c>
      <c r="D6" s="71">
        <f>AVERAGE(C6:C8)</f>
        <v>0.66666666666666663</v>
      </c>
      <c r="E6" s="15">
        <v>0.2</v>
      </c>
      <c r="F6" s="71">
        <f>AVERAGE(E6:E8)</f>
        <v>0.20000000000000004</v>
      </c>
    </row>
    <row r="7" spans="1:6">
      <c r="A7" s="15"/>
      <c r="B7" s="15">
        <v>2</v>
      </c>
      <c r="C7" s="15">
        <v>0.7</v>
      </c>
      <c r="D7" s="80"/>
      <c r="E7" s="15">
        <v>0.2</v>
      </c>
      <c r="F7" s="80"/>
    </row>
    <row r="8" spans="1:6">
      <c r="A8" s="15"/>
      <c r="B8" s="15">
        <v>3</v>
      </c>
      <c r="C8" s="15">
        <v>0.7</v>
      </c>
      <c r="D8" s="80"/>
      <c r="E8" s="15">
        <v>0.2</v>
      </c>
      <c r="F8" s="80"/>
    </row>
    <row r="9" spans="1:6">
      <c r="A9" s="15" t="s">
        <v>69</v>
      </c>
      <c r="B9" s="15">
        <v>1</v>
      </c>
      <c r="C9" s="15">
        <v>0.9</v>
      </c>
      <c r="D9" s="71">
        <f>AVERAGE(C9:C11)</f>
        <v>0.9</v>
      </c>
      <c r="E9" s="15">
        <v>0.4</v>
      </c>
      <c r="F9" s="71">
        <f>AVERAGE(E9:E11)</f>
        <v>0.33333333333333331</v>
      </c>
    </row>
    <row r="10" spans="1:6">
      <c r="A10" s="15"/>
      <c r="B10" s="15">
        <v>2</v>
      </c>
      <c r="C10" s="15">
        <v>0.8</v>
      </c>
      <c r="D10" s="80"/>
      <c r="E10" s="15">
        <v>0.3</v>
      </c>
      <c r="F10" s="80"/>
    </row>
    <row r="11" spans="1:6">
      <c r="A11" s="15"/>
      <c r="B11" s="15">
        <v>3</v>
      </c>
      <c r="C11" s="15">
        <v>1</v>
      </c>
      <c r="D11" s="80"/>
      <c r="E11" s="15">
        <v>0.3</v>
      </c>
      <c r="F11" s="80"/>
    </row>
    <row r="12" spans="1:6">
      <c r="A12" s="15" t="s">
        <v>70</v>
      </c>
      <c r="B12" s="15">
        <v>1</v>
      </c>
      <c r="C12" s="15">
        <v>1.4</v>
      </c>
      <c r="D12" s="71">
        <f>AVERAGE(C12:C14)</f>
        <v>1.3333333333333333</v>
      </c>
      <c r="E12" s="15">
        <v>0.5</v>
      </c>
      <c r="F12" s="71">
        <f>AVERAGE(E12:E14)</f>
        <v>0.5</v>
      </c>
    </row>
    <row r="13" spans="1:6">
      <c r="A13" s="15"/>
      <c r="B13" s="15">
        <v>2</v>
      </c>
      <c r="C13" s="15">
        <v>1.3</v>
      </c>
      <c r="D13" s="80"/>
      <c r="E13" s="15">
        <v>0.5</v>
      </c>
      <c r="F13" s="80"/>
    </row>
    <row r="14" spans="1:6">
      <c r="A14" s="15"/>
      <c r="B14" s="15">
        <v>3</v>
      </c>
      <c r="C14" s="15">
        <v>1.3</v>
      </c>
      <c r="D14" s="80"/>
      <c r="E14" s="15">
        <v>0.5</v>
      </c>
      <c r="F14" s="80"/>
    </row>
  </sheetData>
  <mergeCells count="8">
    <mergeCell ref="E4:F4"/>
    <mergeCell ref="C4:D4"/>
    <mergeCell ref="F6:F8"/>
    <mergeCell ref="F9:F11"/>
    <mergeCell ref="F12:F14"/>
    <mergeCell ref="D6:D8"/>
    <mergeCell ref="D9:D11"/>
    <mergeCell ref="D12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2"/>
  <sheetViews>
    <sheetView topLeftCell="A143" workbookViewId="0">
      <selection activeCell="D1" sqref="D1"/>
    </sheetView>
  </sheetViews>
  <sheetFormatPr baseColWidth="10" defaultRowHeight="15"/>
  <sheetData>
    <row r="1" spans="1:8">
      <c r="A1" s="8" t="s">
        <v>73</v>
      </c>
      <c r="D1" s="8" t="s">
        <v>177</v>
      </c>
    </row>
    <row r="2" spans="1:8">
      <c r="A2" t="s">
        <v>20</v>
      </c>
      <c r="B2" t="s">
        <v>82</v>
      </c>
    </row>
    <row r="3" spans="1:8">
      <c r="A3" s="3">
        <f>255</f>
        <v>255</v>
      </c>
      <c r="B3" s="3">
        <v>250</v>
      </c>
    </row>
    <row r="4" spans="1:8">
      <c r="A4" s="3">
        <v>1</v>
      </c>
      <c r="B4" s="3">
        <f>B3/A3</f>
        <v>0.98039215686274506</v>
      </c>
    </row>
    <row r="6" spans="1:8" ht="30">
      <c r="C6" t="s">
        <v>59</v>
      </c>
      <c r="D6" s="2" t="s">
        <v>20</v>
      </c>
      <c r="E6" s="4" t="s">
        <v>21</v>
      </c>
      <c r="F6" s="2" t="s">
        <v>22</v>
      </c>
      <c r="G6" s="4" t="s">
        <v>23</v>
      </c>
      <c r="H6" s="4" t="s">
        <v>76</v>
      </c>
    </row>
    <row r="7" spans="1:8">
      <c r="C7">
        <v>1</v>
      </c>
      <c r="D7">
        <v>741</v>
      </c>
      <c r="E7">
        <f>(D7*$B$4)</f>
        <v>726.47058823529403</v>
      </c>
      <c r="F7">
        <v>438</v>
      </c>
      <c r="G7">
        <f>F7*$B$4</f>
        <v>429.41176470588232</v>
      </c>
      <c r="H7" s="9" t="s">
        <v>88</v>
      </c>
    </row>
    <row r="8" spans="1:8">
      <c r="C8">
        <v>2</v>
      </c>
      <c r="D8">
        <v>860</v>
      </c>
      <c r="E8">
        <f t="shared" ref="E8:E156" si="0">(D8*$B$4)</f>
        <v>843.13725490196077</v>
      </c>
      <c r="F8">
        <v>286</v>
      </c>
      <c r="G8">
        <f t="shared" ref="G8:G156" si="1">F8*$B$4</f>
        <v>280.39215686274508</v>
      </c>
      <c r="H8" s="9" t="s">
        <v>88</v>
      </c>
    </row>
    <row r="9" spans="1:8">
      <c r="C9">
        <v>3</v>
      </c>
      <c r="D9">
        <v>502</v>
      </c>
      <c r="E9">
        <f t="shared" si="0"/>
        <v>492.15686274509801</v>
      </c>
      <c r="F9">
        <v>255</v>
      </c>
      <c r="G9">
        <f t="shared" si="1"/>
        <v>250</v>
      </c>
      <c r="H9" s="9" t="s">
        <v>88</v>
      </c>
    </row>
    <row r="10" spans="1:8">
      <c r="C10">
        <v>4</v>
      </c>
      <c r="D10">
        <v>460</v>
      </c>
      <c r="E10">
        <f t="shared" si="0"/>
        <v>450.98039215686271</v>
      </c>
      <c r="F10">
        <v>188</v>
      </c>
      <c r="G10">
        <f t="shared" si="1"/>
        <v>184.31372549019608</v>
      </c>
      <c r="H10" s="9" t="s">
        <v>88</v>
      </c>
    </row>
    <row r="11" spans="1:8">
      <c r="C11">
        <v>5</v>
      </c>
      <c r="D11">
        <v>442</v>
      </c>
      <c r="E11">
        <f t="shared" si="0"/>
        <v>433.33333333333331</v>
      </c>
      <c r="F11">
        <v>186</v>
      </c>
      <c r="G11">
        <f t="shared" si="1"/>
        <v>182.35294117647058</v>
      </c>
      <c r="H11" s="9" t="s">
        <v>88</v>
      </c>
    </row>
    <row r="12" spans="1:8">
      <c r="C12">
        <v>6</v>
      </c>
      <c r="D12">
        <v>228</v>
      </c>
      <c r="E12">
        <f t="shared" si="0"/>
        <v>223.52941176470588</v>
      </c>
      <c r="F12">
        <v>213</v>
      </c>
      <c r="G12">
        <f t="shared" si="1"/>
        <v>208.8235294117647</v>
      </c>
      <c r="H12" s="9" t="s">
        <v>88</v>
      </c>
    </row>
    <row r="13" spans="1:8">
      <c r="C13">
        <v>7</v>
      </c>
      <c r="D13">
        <v>463</v>
      </c>
      <c r="E13">
        <f t="shared" si="0"/>
        <v>453.92156862745094</v>
      </c>
      <c r="F13">
        <v>211</v>
      </c>
      <c r="G13">
        <f t="shared" si="1"/>
        <v>206.8627450980392</v>
      </c>
      <c r="H13" s="9" t="s">
        <v>88</v>
      </c>
    </row>
    <row r="14" spans="1:8">
      <c r="C14">
        <v>8</v>
      </c>
      <c r="D14">
        <v>76</v>
      </c>
      <c r="E14">
        <f t="shared" si="0"/>
        <v>74.509803921568619</v>
      </c>
      <c r="F14">
        <v>72</v>
      </c>
      <c r="G14">
        <f t="shared" si="1"/>
        <v>70.588235294117638</v>
      </c>
      <c r="H14" s="9" t="s">
        <v>88</v>
      </c>
    </row>
    <row r="15" spans="1:8">
      <c r="C15">
        <v>9</v>
      </c>
      <c r="D15">
        <v>347</v>
      </c>
      <c r="E15">
        <f t="shared" si="0"/>
        <v>340.19607843137254</v>
      </c>
      <c r="F15">
        <v>217</v>
      </c>
      <c r="G15">
        <f t="shared" si="1"/>
        <v>212.74509803921569</v>
      </c>
      <c r="H15" s="9" t="s">
        <v>88</v>
      </c>
    </row>
    <row r="16" spans="1:8">
      <c r="C16">
        <v>10</v>
      </c>
      <c r="D16">
        <v>396</v>
      </c>
      <c r="E16">
        <f t="shared" si="0"/>
        <v>388.23529411764702</v>
      </c>
      <c r="F16">
        <v>192</v>
      </c>
      <c r="G16">
        <f t="shared" si="1"/>
        <v>188.23529411764704</v>
      </c>
      <c r="H16" s="9" t="s">
        <v>88</v>
      </c>
    </row>
    <row r="17" spans="3:8">
      <c r="C17">
        <v>11</v>
      </c>
      <c r="D17">
        <v>283</v>
      </c>
      <c r="E17">
        <f t="shared" si="0"/>
        <v>277.45098039215685</v>
      </c>
      <c r="F17">
        <v>234</v>
      </c>
      <c r="G17">
        <f t="shared" si="1"/>
        <v>229.41176470588235</v>
      </c>
      <c r="H17" s="9" t="s">
        <v>88</v>
      </c>
    </row>
    <row r="18" spans="3:8">
      <c r="C18">
        <v>12</v>
      </c>
      <c r="D18">
        <v>204</v>
      </c>
      <c r="E18">
        <f t="shared" si="0"/>
        <v>200</v>
      </c>
      <c r="F18">
        <v>195</v>
      </c>
      <c r="G18">
        <f t="shared" si="1"/>
        <v>191.17647058823528</v>
      </c>
      <c r="H18" s="9" t="s">
        <v>88</v>
      </c>
    </row>
    <row r="19" spans="3:8">
      <c r="C19">
        <v>13</v>
      </c>
      <c r="D19">
        <v>768</v>
      </c>
      <c r="E19">
        <f t="shared" si="0"/>
        <v>752.94117647058818</v>
      </c>
      <c r="F19">
        <v>427</v>
      </c>
      <c r="G19">
        <f t="shared" si="1"/>
        <v>418.62745098039215</v>
      </c>
      <c r="H19" s="9" t="s">
        <v>88</v>
      </c>
    </row>
    <row r="20" spans="3:8">
      <c r="C20">
        <v>14</v>
      </c>
      <c r="D20">
        <v>640</v>
      </c>
      <c r="E20">
        <f t="shared" si="0"/>
        <v>627.45098039215679</v>
      </c>
      <c r="F20">
        <v>381</v>
      </c>
      <c r="G20">
        <f t="shared" si="1"/>
        <v>373.52941176470586</v>
      </c>
      <c r="H20" s="9" t="s">
        <v>88</v>
      </c>
    </row>
    <row r="21" spans="3:8">
      <c r="C21">
        <v>15</v>
      </c>
      <c r="D21">
        <v>1618</v>
      </c>
      <c r="E21">
        <f t="shared" si="0"/>
        <v>1586.2745098039215</v>
      </c>
      <c r="F21">
        <v>280</v>
      </c>
      <c r="G21">
        <f t="shared" si="1"/>
        <v>274.50980392156862</v>
      </c>
      <c r="H21" s="9" t="s">
        <v>88</v>
      </c>
    </row>
    <row r="22" spans="3:8">
      <c r="C22">
        <v>16</v>
      </c>
      <c r="D22">
        <v>567</v>
      </c>
      <c r="E22">
        <f t="shared" si="0"/>
        <v>555.88235294117646</v>
      </c>
      <c r="F22">
        <v>401</v>
      </c>
      <c r="G22">
        <f t="shared" si="1"/>
        <v>393.13725490196077</v>
      </c>
      <c r="H22" s="9" t="s">
        <v>88</v>
      </c>
    </row>
    <row r="23" spans="3:8">
      <c r="C23">
        <v>17</v>
      </c>
      <c r="D23">
        <v>1141</v>
      </c>
      <c r="E23">
        <f t="shared" si="0"/>
        <v>1118.627450980392</v>
      </c>
      <c r="F23">
        <v>170</v>
      </c>
      <c r="G23">
        <f t="shared" si="1"/>
        <v>166.66666666666666</v>
      </c>
      <c r="H23" s="9" t="s">
        <v>88</v>
      </c>
    </row>
    <row r="24" spans="3:8">
      <c r="C24">
        <v>18</v>
      </c>
      <c r="D24">
        <v>90</v>
      </c>
      <c r="E24">
        <f t="shared" si="0"/>
        <v>88.235294117647058</v>
      </c>
      <c r="F24">
        <v>104</v>
      </c>
      <c r="G24">
        <f t="shared" si="1"/>
        <v>101.96078431372548</v>
      </c>
      <c r="H24" s="9" t="s">
        <v>88</v>
      </c>
    </row>
    <row r="25" spans="3:8">
      <c r="C25">
        <v>19</v>
      </c>
      <c r="D25">
        <v>115</v>
      </c>
      <c r="E25">
        <f t="shared" si="0"/>
        <v>112.74509803921568</v>
      </c>
      <c r="F25">
        <v>52</v>
      </c>
      <c r="G25">
        <f t="shared" si="1"/>
        <v>50.980392156862742</v>
      </c>
      <c r="H25" s="9" t="s">
        <v>88</v>
      </c>
    </row>
    <row r="26" spans="3:8">
      <c r="C26">
        <v>20</v>
      </c>
      <c r="D26">
        <v>812</v>
      </c>
      <c r="E26">
        <f t="shared" si="0"/>
        <v>796.07843137254895</v>
      </c>
      <c r="F26">
        <v>227</v>
      </c>
      <c r="G26">
        <f t="shared" si="1"/>
        <v>222.54901960784312</v>
      </c>
      <c r="H26" s="9" t="s">
        <v>88</v>
      </c>
    </row>
    <row r="27" spans="3:8">
      <c r="C27">
        <v>21</v>
      </c>
      <c r="D27">
        <v>337</v>
      </c>
      <c r="E27">
        <f t="shared" si="0"/>
        <v>330.39215686274508</v>
      </c>
      <c r="F27">
        <v>159</v>
      </c>
      <c r="G27">
        <f t="shared" si="1"/>
        <v>155.88235294117646</v>
      </c>
      <c r="H27" s="9" t="s">
        <v>88</v>
      </c>
    </row>
    <row r="28" spans="3:8">
      <c r="C28">
        <v>22</v>
      </c>
      <c r="D28">
        <v>194</v>
      </c>
      <c r="E28">
        <f t="shared" si="0"/>
        <v>190.19607843137254</v>
      </c>
      <c r="F28">
        <v>89</v>
      </c>
      <c r="G28">
        <f t="shared" si="1"/>
        <v>87.254901960784309</v>
      </c>
      <c r="H28" s="9" t="s">
        <v>88</v>
      </c>
    </row>
    <row r="29" spans="3:8">
      <c r="C29">
        <v>23</v>
      </c>
      <c r="D29">
        <v>643</v>
      </c>
      <c r="E29">
        <f t="shared" si="0"/>
        <v>630.39215686274508</v>
      </c>
      <c r="F29">
        <v>258</v>
      </c>
      <c r="G29">
        <f t="shared" si="1"/>
        <v>252.94117647058823</v>
      </c>
      <c r="H29" s="9" t="s">
        <v>88</v>
      </c>
    </row>
    <row r="30" spans="3:8">
      <c r="C30">
        <v>24</v>
      </c>
      <c r="D30">
        <v>532</v>
      </c>
      <c r="E30">
        <f t="shared" si="0"/>
        <v>521.56862745098033</v>
      </c>
      <c r="F30">
        <v>496</v>
      </c>
      <c r="G30">
        <f t="shared" si="1"/>
        <v>486.27450980392155</v>
      </c>
      <c r="H30" s="9" t="s">
        <v>88</v>
      </c>
    </row>
    <row r="31" spans="3:8">
      <c r="C31">
        <v>25</v>
      </c>
      <c r="D31">
        <v>399</v>
      </c>
      <c r="E31">
        <f t="shared" si="0"/>
        <v>391.1764705882353</v>
      </c>
      <c r="F31">
        <v>278</v>
      </c>
      <c r="G31">
        <f t="shared" si="1"/>
        <v>272.54901960784315</v>
      </c>
      <c r="H31" s="9" t="s">
        <v>88</v>
      </c>
    </row>
    <row r="32" spans="3:8">
      <c r="C32">
        <v>26</v>
      </c>
      <c r="D32">
        <v>438</v>
      </c>
      <c r="E32">
        <f t="shared" si="0"/>
        <v>429.41176470588232</v>
      </c>
      <c r="F32">
        <v>205</v>
      </c>
      <c r="G32">
        <f t="shared" si="1"/>
        <v>200.98039215686273</v>
      </c>
      <c r="H32" s="9" t="s">
        <v>88</v>
      </c>
    </row>
    <row r="33" spans="3:8">
      <c r="C33">
        <v>27</v>
      </c>
      <c r="D33">
        <v>64</v>
      </c>
      <c r="E33">
        <f t="shared" si="0"/>
        <v>62.745098039215684</v>
      </c>
      <c r="F33">
        <v>42</v>
      </c>
      <c r="G33">
        <f t="shared" si="1"/>
        <v>41.17647058823529</v>
      </c>
      <c r="H33" s="9" t="s">
        <v>88</v>
      </c>
    </row>
    <row r="34" spans="3:8">
      <c r="C34">
        <v>28</v>
      </c>
      <c r="D34">
        <v>711</v>
      </c>
      <c r="E34">
        <f t="shared" si="0"/>
        <v>697.05882352941171</v>
      </c>
      <c r="F34">
        <v>288</v>
      </c>
      <c r="G34">
        <f t="shared" si="1"/>
        <v>282.35294117647055</v>
      </c>
      <c r="H34" s="9" t="s">
        <v>88</v>
      </c>
    </row>
    <row r="35" spans="3:8">
      <c r="C35">
        <v>29</v>
      </c>
      <c r="D35">
        <v>445</v>
      </c>
      <c r="E35">
        <f t="shared" si="0"/>
        <v>436.27450980392155</v>
      </c>
      <c r="F35">
        <v>293</v>
      </c>
      <c r="G35">
        <f t="shared" si="1"/>
        <v>287.25490196078431</v>
      </c>
      <c r="H35" s="9" t="s">
        <v>88</v>
      </c>
    </row>
    <row r="36" spans="3:8">
      <c r="C36">
        <v>30</v>
      </c>
      <c r="D36">
        <v>672</v>
      </c>
      <c r="E36">
        <f t="shared" si="0"/>
        <v>658.82352941176464</v>
      </c>
      <c r="F36">
        <v>231</v>
      </c>
      <c r="G36">
        <f t="shared" si="1"/>
        <v>226.47058823529412</v>
      </c>
      <c r="H36" s="9" t="s">
        <v>88</v>
      </c>
    </row>
    <row r="37" spans="3:8">
      <c r="C37">
        <v>31</v>
      </c>
      <c r="D37">
        <v>799</v>
      </c>
      <c r="E37">
        <f t="shared" si="0"/>
        <v>783.33333333333326</v>
      </c>
      <c r="F37">
        <v>397</v>
      </c>
      <c r="G37">
        <f t="shared" si="1"/>
        <v>389.21568627450978</v>
      </c>
      <c r="H37" s="9" t="s">
        <v>88</v>
      </c>
    </row>
    <row r="38" spans="3:8">
      <c r="C38">
        <v>32</v>
      </c>
      <c r="D38">
        <v>563</v>
      </c>
      <c r="E38">
        <f t="shared" si="0"/>
        <v>551.96078431372541</v>
      </c>
      <c r="F38">
        <v>366</v>
      </c>
      <c r="G38">
        <f t="shared" si="1"/>
        <v>358.8235294117647</v>
      </c>
      <c r="H38" s="9" t="s">
        <v>88</v>
      </c>
    </row>
    <row r="39" spans="3:8">
      <c r="C39">
        <v>33</v>
      </c>
      <c r="D39">
        <v>731</v>
      </c>
      <c r="E39">
        <f t="shared" si="0"/>
        <v>716.66666666666663</v>
      </c>
      <c r="F39">
        <v>411</v>
      </c>
      <c r="G39">
        <f t="shared" si="1"/>
        <v>402.94117647058823</v>
      </c>
      <c r="H39" s="9" t="s">
        <v>88</v>
      </c>
    </row>
    <row r="40" spans="3:8">
      <c r="C40">
        <v>34</v>
      </c>
      <c r="D40">
        <v>332</v>
      </c>
      <c r="E40">
        <f t="shared" si="0"/>
        <v>325.49019607843138</v>
      </c>
      <c r="F40">
        <v>138</v>
      </c>
      <c r="G40">
        <f t="shared" si="1"/>
        <v>135.29411764705881</v>
      </c>
      <c r="H40" s="9" t="s">
        <v>88</v>
      </c>
    </row>
    <row r="41" spans="3:8">
      <c r="C41">
        <v>35</v>
      </c>
      <c r="D41">
        <v>828</v>
      </c>
      <c r="E41">
        <f t="shared" si="0"/>
        <v>811.76470588235293</v>
      </c>
      <c r="F41">
        <v>384</v>
      </c>
      <c r="G41">
        <f t="shared" si="1"/>
        <v>376.47058823529409</v>
      </c>
      <c r="H41" s="9" t="s">
        <v>88</v>
      </c>
    </row>
    <row r="42" spans="3:8">
      <c r="C42">
        <v>36</v>
      </c>
      <c r="D42">
        <v>584</v>
      </c>
      <c r="E42">
        <f t="shared" si="0"/>
        <v>572.54901960784309</v>
      </c>
      <c r="F42">
        <v>107</v>
      </c>
      <c r="G42">
        <f t="shared" si="1"/>
        <v>104.90196078431372</v>
      </c>
      <c r="H42" s="9" t="s">
        <v>88</v>
      </c>
    </row>
    <row r="43" spans="3:8">
      <c r="C43">
        <v>37</v>
      </c>
      <c r="D43">
        <v>420</v>
      </c>
      <c r="E43">
        <f t="shared" si="0"/>
        <v>411.76470588235293</v>
      </c>
      <c r="F43">
        <v>288</v>
      </c>
      <c r="G43">
        <f t="shared" si="1"/>
        <v>282.35294117647055</v>
      </c>
      <c r="H43" s="9" t="s">
        <v>88</v>
      </c>
    </row>
    <row r="44" spans="3:8">
      <c r="C44">
        <v>38</v>
      </c>
      <c r="D44">
        <v>617</v>
      </c>
      <c r="E44">
        <f t="shared" si="0"/>
        <v>604.9019607843137</v>
      </c>
      <c r="F44">
        <v>351</v>
      </c>
      <c r="G44">
        <f t="shared" si="1"/>
        <v>344.11764705882354</v>
      </c>
      <c r="H44" s="9" t="s">
        <v>88</v>
      </c>
    </row>
    <row r="45" spans="3:8">
      <c r="C45">
        <v>39</v>
      </c>
      <c r="D45">
        <v>669</v>
      </c>
      <c r="E45">
        <f t="shared" si="0"/>
        <v>655.88235294117646</v>
      </c>
      <c r="F45">
        <v>470</v>
      </c>
      <c r="G45">
        <f t="shared" si="1"/>
        <v>460.78431372549016</v>
      </c>
      <c r="H45" s="9" t="s">
        <v>88</v>
      </c>
    </row>
    <row r="46" spans="3:8">
      <c r="C46">
        <v>40</v>
      </c>
      <c r="D46">
        <v>683</v>
      </c>
      <c r="E46">
        <f t="shared" si="0"/>
        <v>669.60784313725492</v>
      </c>
      <c r="F46">
        <v>354</v>
      </c>
      <c r="G46">
        <f t="shared" si="1"/>
        <v>347.05882352941177</v>
      </c>
      <c r="H46" s="9" t="s">
        <v>88</v>
      </c>
    </row>
    <row r="47" spans="3:8">
      <c r="C47">
        <v>41</v>
      </c>
      <c r="D47">
        <v>665</v>
      </c>
      <c r="E47">
        <f t="shared" si="0"/>
        <v>651.96078431372541</v>
      </c>
      <c r="F47">
        <v>169</v>
      </c>
      <c r="G47">
        <f t="shared" si="1"/>
        <v>165.68627450980392</v>
      </c>
      <c r="H47" s="9" t="s">
        <v>88</v>
      </c>
    </row>
    <row r="48" spans="3:8">
      <c r="C48">
        <v>42</v>
      </c>
      <c r="D48">
        <v>586</v>
      </c>
      <c r="E48">
        <f t="shared" si="0"/>
        <v>574.50980392156862</v>
      </c>
      <c r="F48">
        <v>373</v>
      </c>
      <c r="G48">
        <f t="shared" si="1"/>
        <v>365.68627450980392</v>
      </c>
      <c r="H48" s="9" t="s">
        <v>88</v>
      </c>
    </row>
    <row r="49" spans="3:8">
      <c r="C49">
        <v>43</v>
      </c>
      <c r="D49">
        <v>642</v>
      </c>
      <c r="E49">
        <f t="shared" si="0"/>
        <v>629.41176470588232</v>
      </c>
      <c r="F49">
        <v>315</v>
      </c>
      <c r="G49">
        <f t="shared" si="1"/>
        <v>308.8235294117647</v>
      </c>
      <c r="H49" s="9" t="s">
        <v>88</v>
      </c>
    </row>
    <row r="50" spans="3:8">
      <c r="C50">
        <v>44</v>
      </c>
      <c r="D50">
        <v>258</v>
      </c>
      <c r="E50">
        <f t="shared" si="0"/>
        <v>252.94117647058823</v>
      </c>
      <c r="F50">
        <v>249</v>
      </c>
      <c r="G50">
        <f t="shared" si="1"/>
        <v>244.11764705882351</v>
      </c>
      <c r="H50" s="9" t="s">
        <v>88</v>
      </c>
    </row>
    <row r="51" spans="3:8">
      <c r="C51">
        <v>45</v>
      </c>
      <c r="D51">
        <v>591</v>
      </c>
      <c r="E51">
        <f t="shared" si="0"/>
        <v>579.41176470588232</v>
      </c>
      <c r="F51">
        <v>209</v>
      </c>
      <c r="G51">
        <f t="shared" si="1"/>
        <v>204.90196078431373</v>
      </c>
      <c r="H51" s="9" t="s">
        <v>88</v>
      </c>
    </row>
    <row r="52" spans="3:8">
      <c r="C52">
        <v>46</v>
      </c>
      <c r="D52">
        <v>646</v>
      </c>
      <c r="E52">
        <f t="shared" si="0"/>
        <v>633.33333333333326</v>
      </c>
      <c r="F52">
        <v>255</v>
      </c>
      <c r="G52">
        <f t="shared" si="1"/>
        <v>250</v>
      </c>
      <c r="H52" s="9" t="s">
        <v>88</v>
      </c>
    </row>
    <row r="53" spans="3:8">
      <c r="C53">
        <v>47</v>
      </c>
      <c r="D53">
        <v>241</v>
      </c>
      <c r="E53">
        <f t="shared" si="0"/>
        <v>236.27450980392155</v>
      </c>
      <c r="F53">
        <v>123</v>
      </c>
      <c r="G53">
        <f t="shared" si="1"/>
        <v>120.58823529411764</v>
      </c>
      <c r="H53" s="9" t="s">
        <v>88</v>
      </c>
    </row>
    <row r="54" spans="3:8">
      <c r="C54">
        <v>48</v>
      </c>
      <c r="D54">
        <v>225</v>
      </c>
      <c r="E54">
        <f t="shared" si="0"/>
        <v>220.58823529411762</v>
      </c>
      <c r="F54">
        <v>112</v>
      </c>
      <c r="G54">
        <f t="shared" si="1"/>
        <v>109.80392156862744</v>
      </c>
      <c r="H54" s="9" t="s">
        <v>88</v>
      </c>
    </row>
    <row r="55" spans="3:8">
      <c r="C55">
        <v>49</v>
      </c>
      <c r="D55">
        <v>138</v>
      </c>
      <c r="E55">
        <f t="shared" si="0"/>
        <v>135.29411764705881</v>
      </c>
      <c r="F55">
        <v>21</v>
      </c>
      <c r="G55">
        <f t="shared" si="1"/>
        <v>20.588235294117645</v>
      </c>
      <c r="H55" s="9" t="s">
        <v>88</v>
      </c>
    </row>
    <row r="56" spans="3:8">
      <c r="C56">
        <v>50</v>
      </c>
      <c r="D56">
        <v>384</v>
      </c>
      <c r="E56">
        <f t="shared" si="0"/>
        <v>376.47058823529409</v>
      </c>
      <c r="F56">
        <v>104</v>
      </c>
      <c r="G56">
        <f t="shared" si="1"/>
        <v>101.96078431372548</v>
      </c>
      <c r="H56" s="9" t="s">
        <v>88</v>
      </c>
    </row>
    <row r="57" spans="3:8">
      <c r="C57">
        <v>51</v>
      </c>
      <c r="D57">
        <v>604</v>
      </c>
      <c r="E57">
        <f t="shared" si="0"/>
        <v>592.15686274509801</v>
      </c>
      <c r="F57">
        <v>225</v>
      </c>
      <c r="G57">
        <f t="shared" si="1"/>
        <v>220.58823529411762</v>
      </c>
      <c r="H57" s="9" t="s">
        <v>88</v>
      </c>
    </row>
    <row r="58" spans="3:8">
      <c r="C58">
        <v>52</v>
      </c>
      <c r="D58">
        <v>516</v>
      </c>
      <c r="E58">
        <f t="shared" si="0"/>
        <v>505.88235294117646</v>
      </c>
      <c r="F58">
        <v>96</v>
      </c>
      <c r="G58">
        <f t="shared" si="1"/>
        <v>94.117647058823522</v>
      </c>
      <c r="H58" s="9" t="s">
        <v>88</v>
      </c>
    </row>
    <row r="59" spans="3:8">
      <c r="C59">
        <v>53</v>
      </c>
      <c r="D59">
        <v>444</v>
      </c>
      <c r="E59">
        <f t="shared" si="0"/>
        <v>435.29411764705878</v>
      </c>
      <c r="F59">
        <v>244</v>
      </c>
      <c r="G59">
        <f t="shared" si="1"/>
        <v>239.21568627450981</v>
      </c>
      <c r="H59" s="9" t="s">
        <v>88</v>
      </c>
    </row>
    <row r="60" spans="3:8">
      <c r="C60">
        <v>54</v>
      </c>
      <c r="D60">
        <v>667</v>
      </c>
      <c r="E60">
        <f t="shared" si="0"/>
        <v>653.92156862745094</v>
      </c>
      <c r="F60">
        <v>341</v>
      </c>
      <c r="G60">
        <f t="shared" si="1"/>
        <v>334.31372549019608</v>
      </c>
      <c r="H60" s="9" t="s">
        <v>88</v>
      </c>
    </row>
    <row r="61" spans="3:8">
      <c r="C61">
        <v>55</v>
      </c>
      <c r="D61">
        <v>551</v>
      </c>
      <c r="E61">
        <f t="shared" si="0"/>
        <v>540.19607843137248</v>
      </c>
      <c r="F61">
        <v>557</v>
      </c>
      <c r="G61">
        <f t="shared" si="1"/>
        <v>546.07843137254895</v>
      </c>
      <c r="H61" s="9" t="s">
        <v>88</v>
      </c>
    </row>
    <row r="62" spans="3:8">
      <c r="C62">
        <v>56</v>
      </c>
      <c r="D62">
        <v>154</v>
      </c>
      <c r="E62">
        <f t="shared" si="0"/>
        <v>150.98039215686273</v>
      </c>
      <c r="F62">
        <v>148</v>
      </c>
      <c r="G62">
        <f t="shared" si="1"/>
        <v>145.09803921568627</v>
      </c>
      <c r="H62" s="9" t="s">
        <v>88</v>
      </c>
    </row>
    <row r="63" spans="3:8">
      <c r="C63">
        <v>57</v>
      </c>
      <c r="D63">
        <v>402</v>
      </c>
      <c r="E63">
        <f t="shared" si="0"/>
        <v>394.11764705882354</v>
      </c>
      <c r="F63">
        <v>246</v>
      </c>
      <c r="G63">
        <f t="shared" si="1"/>
        <v>241.17647058823528</v>
      </c>
      <c r="H63" s="9" t="s">
        <v>88</v>
      </c>
    </row>
    <row r="64" spans="3:8">
      <c r="C64">
        <v>58</v>
      </c>
      <c r="D64">
        <v>605</v>
      </c>
      <c r="E64">
        <f t="shared" si="0"/>
        <v>593.13725490196077</v>
      </c>
      <c r="F64">
        <v>254</v>
      </c>
      <c r="G64">
        <f t="shared" si="1"/>
        <v>249.01960784313724</v>
      </c>
      <c r="H64" s="9" t="s">
        <v>88</v>
      </c>
    </row>
    <row r="65" spans="3:8">
      <c r="C65">
        <v>59</v>
      </c>
      <c r="D65">
        <v>721</v>
      </c>
      <c r="E65">
        <f t="shared" si="0"/>
        <v>706.86274509803923</v>
      </c>
      <c r="F65">
        <v>310</v>
      </c>
      <c r="G65">
        <f t="shared" si="1"/>
        <v>303.92156862745099</v>
      </c>
      <c r="H65" s="9" t="s">
        <v>88</v>
      </c>
    </row>
    <row r="66" spans="3:8">
      <c r="C66">
        <v>60</v>
      </c>
      <c r="D66">
        <v>633</v>
      </c>
      <c r="E66">
        <f t="shared" si="0"/>
        <v>620.58823529411757</v>
      </c>
      <c r="F66">
        <v>225</v>
      </c>
      <c r="G66">
        <f t="shared" si="1"/>
        <v>220.58823529411762</v>
      </c>
      <c r="H66" s="9" t="s">
        <v>88</v>
      </c>
    </row>
    <row r="67" spans="3:8">
      <c r="C67">
        <v>61</v>
      </c>
      <c r="D67">
        <v>231</v>
      </c>
      <c r="E67">
        <f t="shared" si="0"/>
        <v>226.47058823529412</v>
      </c>
      <c r="F67">
        <v>132</v>
      </c>
      <c r="G67">
        <f t="shared" si="1"/>
        <v>129.41176470588235</v>
      </c>
      <c r="H67" s="9" t="s">
        <v>88</v>
      </c>
    </row>
    <row r="68" spans="3:8">
      <c r="C68">
        <v>62</v>
      </c>
      <c r="D68">
        <v>755</v>
      </c>
      <c r="E68">
        <f t="shared" si="0"/>
        <v>740.19607843137248</v>
      </c>
      <c r="F68">
        <v>352</v>
      </c>
      <c r="G68">
        <f t="shared" si="1"/>
        <v>345.09803921568624</v>
      </c>
      <c r="H68" s="9" t="s">
        <v>88</v>
      </c>
    </row>
    <row r="69" spans="3:8">
      <c r="C69">
        <v>63</v>
      </c>
      <c r="D69">
        <v>240</v>
      </c>
      <c r="E69">
        <f t="shared" si="0"/>
        <v>235.29411764705881</v>
      </c>
      <c r="F69">
        <v>133</v>
      </c>
      <c r="G69">
        <f t="shared" si="1"/>
        <v>130.39215686274508</v>
      </c>
      <c r="H69" s="9" t="s">
        <v>88</v>
      </c>
    </row>
    <row r="70" spans="3:8">
      <c r="C70">
        <v>64</v>
      </c>
      <c r="D70">
        <v>512</v>
      </c>
      <c r="E70">
        <f t="shared" si="0"/>
        <v>501.96078431372547</v>
      </c>
      <c r="F70">
        <v>317</v>
      </c>
      <c r="G70">
        <f t="shared" si="1"/>
        <v>310.78431372549016</v>
      </c>
      <c r="H70" s="9" t="s">
        <v>88</v>
      </c>
    </row>
    <row r="71" spans="3:8">
      <c r="C71">
        <v>65</v>
      </c>
      <c r="D71">
        <v>492</v>
      </c>
      <c r="E71">
        <f t="shared" si="0"/>
        <v>482.35294117647055</v>
      </c>
      <c r="F71">
        <v>420</v>
      </c>
      <c r="G71">
        <f t="shared" si="1"/>
        <v>411.76470588235293</v>
      </c>
      <c r="H71" s="9" t="s">
        <v>88</v>
      </c>
    </row>
    <row r="72" spans="3:8">
      <c r="C72">
        <v>66</v>
      </c>
      <c r="D72">
        <v>1004</v>
      </c>
      <c r="E72">
        <f t="shared" si="0"/>
        <v>984.31372549019602</v>
      </c>
      <c r="F72">
        <v>351</v>
      </c>
      <c r="G72">
        <f t="shared" si="1"/>
        <v>344.11764705882354</v>
      </c>
      <c r="H72" s="9" t="s">
        <v>88</v>
      </c>
    </row>
    <row r="73" spans="3:8">
      <c r="C73">
        <v>67</v>
      </c>
      <c r="D73">
        <v>635</v>
      </c>
      <c r="E73">
        <f t="shared" si="0"/>
        <v>622.54901960784309</v>
      </c>
      <c r="F73">
        <v>327</v>
      </c>
      <c r="G73">
        <f t="shared" si="1"/>
        <v>320.58823529411762</v>
      </c>
      <c r="H73" s="9" t="s">
        <v>88</v>
      </c>
    </row>
    <row r="74" spans="3:8">
      <c r="C74">
        <v>68</v>
      </c>
      <c r="D74">
        <v>827</v>
      </c>
      <c r="E74">
        <f t="shared" si="0"/>
        <v>810.78431372549016</v>
      </c>
      <c r="F74">
        <v>222</v>
      </c>
      <c r="G74">
        <f t="shared" si="1"/>
        <v>217.64705882352939</v>
      </c>
      <c r="H74" s="9" t="s">
        <v>88</v>
      </c>
    </row>
    <row r="75" spans="3:8">
      <c r="C75">
        <v>69</v>
      </c>
      <c r="D75">
        <v>431</v>
      </c>
      <c r="E75">
        <f t="shared" si="0"/>
        <v>422.54901960784309</v>
      </c>
      <c r="F75">
        <v>89</v>
      </c>
      <c r="G75">
        <f t="shared" si="1"/>
        <v>87.254901960784309</v>
      </c>
      <c r="H75" s="9" t="s">
        <v>88</v>
      </c>
    </row>
    <row r="76" spans="3:8">
      <c r="C76">
        <v>70</v>
      </c>
      <c r="D76">
        <v>687</v>
      </c>
      <c r="E76">
        <f t="shared" si="0"/>
        <v>673.52941176470586</v>
      </c>
      <c r="F76">
        <v>285</v>
      </c>
      <c r="G76">
        <f t="shared" si="1"/>
        <v>279.41176470588232</v>
      </c>
      <c r="H76" s="9" t="s">
        <v>88</v>
      </c>
    </row>
    <row r="77" spans="3:8">
      <c r="C77">
        <v>71</v>
      </c>
      <c r="D77">
        <v>618</v>
      </c>
      <c r="E77">
        <f t="shared" si="0"/>
        <v>605.88235294117646</v>
      </c>
      <c r="F77">
        <v>318</v>
      </c>
      <c r="G77">
        <f t="shared" si="1"/>
        <v>311.76470588235293</v>
      </c>
      <c r="H77" s="9" t="s">
        <v>88</v>
      </c>
    </row>
    <row r="78" spans="3:8">
      <c r="C78">
        <v>72</v>
      </c>
      <c r="D78">
        <v>336</v>
      </c>
      <c r="E78">
        <f t="shared" si="0"/>
        <v>329.41176470588232</v>
      </c>
      <c r="F78">
        <v>219</v>
      </c>
      <c r="G78">
        <f t="shared" si="1"/>
        <v>214.70588235294116</v>
      </c>
      <c r="H78" s="9" t="s">
        <v>88</v>
      </c>
    </row>
    <row r="79" spans="3:8">
      <c r="C79">
        <v>73</v>
      </c>
      <c r="D79">
        <v>477</v>
      </c>
      <c r="E79">
        <f t="shared" si="0"/>
        <v>467.64705882352939</v>
      </c>
      <c r="F79">
        <v>399</v>
      </c>
      <c r="G79">
        <f t="shared" si="1"/>
        <v>391.1764705882353</v>
      </c>
      <c r="H79" s="9" t="s">
        <v>88</v>
      </c>
    </row>
    <row r="80" spans="3:8">
      <c r="C80">
        <v>74</v>
      </c>
      <c r="D80">
        <v>291</v>
      </c>
      <c r="E80">
        <f t="shared" si="0"/>
        <v>285.29411764705878</v>
      </c>
      <c r="F80">
        <v>449</v>
      </c>
      <c r="G80">
        <f t="shared" si="1"/>
        <v>440.19607843137254</v>
      </c>
      <c r="H80" s="9" t="s">
        <v>88</v>
      </c>
    </row>
    <row r="81" spans="3:8">
      <c r="C81">
        <v>75</v>
      </c>
      <c r="D81">
        <v>360</v>
      </c>
      <c r="E81">
        <f t="shared" si="0"/>
        <v>352.94117647058823</v>
      </c>
      <c r="F81">
        <v>249</v>
      </c>
      <c r="G81">
        <f t="shared" si="1"/>
        <v>244.11764705882351</v>
      </c>
      <c r="H81" s="9" t="s">
        <v>88</v>
      </c>
    </row>
    <row r="82" spans="3:8">
      <c r="C82">
        <v>76</v>
      </c>
      <c r="D82">
        <v>273</v>
      </c>
      <c r="E82">
        <f t="shared" si="0"/>
        <v>267.64705882352939</v>
      </c>
      <c r="F82">
        <v>255</v>
      </c>
      <c r="G82">
        <f t="shared" si="1"/>
        <v>250</v>
      </c>
      <c r="H82" s="9" t="s">
        <v>88</v>
      </c>
    </row>
    <row r="83" spans="3:8">
      <c r="C83">
        <v>77</v>
      </c>
      <c r="D83">
        <v>574</v>
      </c>
      <c r="E83">
        <f t="shared" si="0"/>
        <v>562.74509803921569</v>
      </c>
      <c r="F83">
        <v>98</v>
      </c>
      <c r="G83">
        <f t="shared" si="1"/>
        <v>96.078431372549019</v>
      </c>
      <c r="H83" s="9" t="s">
        <v>88</v>
      </c>
    </row>
    <row r="84" spans="3:8">
      <c r="C84">
        <v>78</v>
      </c>
      <c r="D84">
        <v>441</v>
      </c>
      <c r="E84">
        <f t="shared" si="0"/>
        <v>432.35294117647055</v>
      </c>
      <c r="F84">
        <v>223</v>
      </c>
      <c r="G84">
        <f t="shared" si="1"/>
        <v>218.62745098039215</v>
      </c>
      <c r="H84" s="9" t="s">
        <v>88</v>
      </c>
    </row>
    <row r="85" spans="3:8">
      <c r="C85">
        <v>79</v>
      </c>
      <c r="D85">
        <v>592</v>
      </c>
      <c r="E85">
        <f t="shared" si="0"/>
        <v>580.39215686274508</v>
      </c>
      <c r="F85">
        <v>477</v>
      </c>
      <c r="G85">
        <f t="shared" si="1"/>
        <v>467.64705882352939</v>
      </c>
      <c r="H85" s="9" t="s">
        <v>88</v>
      </c>
    </row>
    <row r="86" spans="3:8">
      <c r="C86">
        <v>80</v>
      </c>
      <c r="D86">
        <v>1119</v>
      </c>
      <c r="E86">
        <f t="shared" si="0"/>
        <v>1097.0588235294117</v>
      </c>
      <c r="F86">
        <v>364</v>
      </c>
      <c r="G86">
        <f t="shared" si="1"/>
        <v>356.86274509803923</v>
      </c>
      <c r="H86" s="9" t="s">
        <v>88</v>
      </c>
    </row>
    <row r="87" spans="3:8">
      <c r="C87">
        <v>81</v>
      </c>
      <c r="D87">
        <v>618</v>
      </c>
      <c r="E87">
        <f t="shared" si="0"/>
        <v>605.88235294117646</v>
      </c>
      <c r="F87">
        <v>168</v>
      </c>
      <c r="G87">
        <f t="shared" si="1"/>
        <v>164.70588235294116</v>
      </c>
      <c r="H87" s="9" t="s">
        <v>88</v>
      </c>
    </row>
    <row r="88" spans="3:8">
      <c r="C88">
        <v>82</v>
      </c>
      <c r="D88">
        <v>498</v>
      </c>
      <c r="E88">
        <f t="shared" si="0"/>
        <v>488.23529411764702</v>
      </c>
      <c r="F88">
        <v>252</v>
      </c>
      <c r="G88">
        <f t="shared" si="1"/>
        <v>247.05882352941177</v>
      </c>
      <c r="H88" s="9" t="s">
        <v>88</v>
      </c>
    </row>
    <row r="89" spans="3:8">
      <c r="C89">
        <v>83</v>
      </c>
      <c r="D89">
        <v>549</v>
      </c>
      <c r="E89">
        <f t="shared" si="0"/>
        <v>538.23529411764707</v>
      </c>
      <c r="F89">
        <v>411</v>
      </c>
      <c r="G89">
        <f t="shared" si="1"/>
        <v>402.94117647058823</v>
      </c>
      <c r="H89" s="9" t="s">
        <v>88</v>
      </c>
    </row>
    <row r="90" spans="3:8">
      <c r="C90">
        <v>84</v>
      </c>
      <c r="D90">
        <v>759</v>
      </c>
      <c r="E90">
        <f t="shared" si="0"/>
        <v>744.11764705882354</v>
      </c>
      <c r="F90">
        <v>159</v>
      </c>
      <c r="G90">
        <f t="shared" si="1"/>
        <v>155.88235294117646</v>
      </c>
      <c r="H90" s="9" t="s">
        <v>88</v>
      </c>
    </row>
    <row r="91" spans="3:8">
      <c r="C91">
        <v>85</v>
      </c>
      <c r="D91">
        <v>527</v>
      </c>
      <c r="E91">
        <f t="shared" si="0"/>
        <v>516.66666666666663</v>
      </c>
      <c r="F91">
        <v>308</v>
      </c>
      <c r="G91">
        <f t="shared" si="1"/>
        <v>301.96078431372547</v>
      </c>
      <c r="H91" s="9" t="s">
        <v>88</v>
      </c>
    </row>
    <row r="92" spans="3:8">
      <c r="C92">
        <v>86</v>
      </c>
      <c r="D92">
        <v>306</v>
      </c>
      <c r="E92">
        <f t="shared" si="0"/>
        <v>300</v>
      </c>
      <c r="F92">
        <v>96</v>
      </c>
      <c r="G92">
        <f t="shared" si="1"/>
        <v>94.117647058823522</v>
      </c>
      <c r="H92" s="9" t="s">
        <v>88</v>
      </c>
    </row>
    <row r="93" spans="3:8">
      <c r="C93">
        <v>87</v>
      </c>
      <c r="D93">
        <v>91</v>
      </c>
      <c r="E93">
        <f t="shared" si="0"/>
        <v>89.215686274509807</v>
      </c>
      <c r="F93">
        <v>61</v>
      </c>
      <c r="G93">
        <f t="shared" si="1"/>
        <v>59.803921568627452</v>
      </c>
      <c r="H93" s="9" t="s">
        <v>88</v>
      </c>
    </row>
    <row r="94" spans="3:8">
      <c r="C94">
        <v>88</v>
      </c>
      <c r="D94">
        <v>381</v>
      </c>
      <c r="E94">
        <f t="shared" si="0"/>
        <v>373.52941176470586</v>
      </c>
      <c r="F94">
        <v>214</v>
      </c>
      <c r="G94">
        <f t="shared" si="1"/>
        <v>209.80392156862743</v>
      </c>
      <c r="H94" s="9" t="s">
        <v>88</v>
      </c>
    </row>
    <row r="95" spans="3:8">
      <c r="C95">
        <v>89</v>
      </c>
      <c r="D95">
        <v>399</v>
      </c>
      <c r="E95">
        <f t="shared" si="0"/>
        <v>391.1764705882353</v>
      </c>
      <c r="F95">
        <v>261</v>
      </c>
      <c r="G95">
        <f t="shared" si="1"/>
        <v>255.88235294117646</v>
      </c>
      <c r="H95" s="9" t="s">
        <v>88</v>
      </c>
    </row>
    <row r="96" spans="3:8">
      <c r="C96">
        <v>90</v>
      </c>
      <c r="D96">
        <v>434</v>
      </c>
      <c r="E96">
        <f t="shared" si="0"/>
        <v>425.49019607843138</v>
      </c>
      <c r="F96">
        <v>225</v>
      </c>
      <c r="G96">
        <f t="shared" si="1"/>
        <v>220.58823529411762</v>
      </c>
      <c r="H96" s="9" t="s">
        <v>88</v>
      </c>
    </row>
    <row r="97" spans="3:8">
      <c r="C97">
        <v>91</v>
      </c>
      <c r="D97">
        <v>752</v>
      </c>
      <c r="E97">
        <f t="shared" si="0"/>
        <v>737.25490196078431</v>
      </c>
      <c r="F97">
        <v>230</v>
      </c>
      <c r="G97">
        <f t="shared" si="1"/>
        <v>225.49019607843135</v>
      </c>
      <c r="H97" s="9" t="s">
        <v>88</v>
      </c>
    </row>
    <row r="98" spans="3:8">
      <c r="C98">
        <v>92</v>
      </c>
      <c r="D98">
        <v>743</v>
      </c>
      <c r="E98">
        <f t="shared" si="0"/>
        <v>728.43137254901956</v>
      </c>
      <c r="F98">
        <v>237</v>
      </c>
      <c r="G98">
        <f t="shared" si="1"/>
        <v>232.35294117647058</v>
      </c>
      <c r="H98" s="9" t="s">
        <v>88</v>
      </c>
    </row>
    <row r="99" spans="3:8">
      <c r="C99">
        <v>93</v>
      </c>
      <c r="D99">
        <v>783</v>
      </c>
      <c r="E99">
        <f t="shared" si="0"/>
        <v>767.64705882352939</v>
      </c>
      <c r="F99">
        <v>381</v>
      </c>
      <c r="G99">
        <f t="shared" si="1"/>
        <v>373.52941176470586</v>
      </c>
      <c r="H99" s="9" t="s">
        <v>88</v>
      </c>
    </row>
    <row r="100" spans="3:8">
      <c r="C100">
        <v>94</v>
      </c>
      <c r="D100">
        <v>624</v>
      </c>
      <c r="E100">
        <f t="shared" si="0"/>
        <v>611.76470588235293</v>
      </c>
      <c r="F100">
        <v>382</v>
      </c>
      <c r="G100">
        <f t="shared" si="1"/>
        <v>374.50980392156862</v>
      </c>
      <c r="H100" s="9" t="s">
        <v>88</v>
      </c>
    </row>
    <row r="101" spans="3:8">
      <c r="C101">
        <v>95</v>
      </c>
      <c r="D101">
        <v>714</v>
      </c>
      <c r="E101">
        <f t="shared" si="0"/>
        <v>700</v>
      </c>
      <c r="F101">
        <v>364</v>
      </c>
      <c r="G101">
        <f t="shared" si="1"/>
        <v>356.86274509803923</v>
      </c>
      <c r="H101" s="9" t="s">
        <v>88</v>
      </c>
    </row>
    <row r="102" spans="3:8">
      <c r="C102">
        <v>96</v>
      </c>
      <c r="D102">
        <v>474</v>
      </c>
      <c r="E102">
        <f t="shared" si="0"/>
        <v>464.70588235294116</v>
      </c>
      <c r="F102">
        <v>286</v>
      </c>
      <c r="G102">
        <f t="shared" si="1"/>
        <v>280.39215686274508</v>
      </c>
      <c r="H102" s="9" t="s">
        <v>88</v>
      </c>
    </row>
    <row r="103" spans="3:8">
      <c r="C103">
        <v>97</v>
      </c>
      <c r="D103">
        <v>552</v>
      </c>
      <c r="E103">
        <f t="shared" si="0"/>
        <v>541.17647058823525</v>
      </c>
      <c r="F103">
        <v>406</v>
      </c>
      <c r="G103">
        <f t="shared" si="1"/>
        <v>398.03921568627447</v>
      </c>
      <c r="H103" s="9" t="s">
        <v>88</v>
      </c>
    </row>
    <row r="104" spans="3:8">
      <c r="C104">
        <v>98</v>
      </c>
      <c r="D104">
        <v>543</v>
      </c>
      <c r="E104">
        <f t="shared" si="0"/>
        <v>532.35294117647061</v>
      </c>
      <c r="F104">
        <v>299</v>
      </c>
      <c r="G104">
        <f t="shared" si="1"/>
        <v>293.13725490196077</v>
      </c>
      <c r="H104" s="9" t="s">
        <v>88</v>
      </c>
    </row>
    <row r="105" spans="3:8">
      <c r="C105">
        <v>99</v>
      </c>
      <c r="D105">
        <v>503</v>
      </c>
      <c r="E105">
        <f t="shared" si="0"/>
        <v>493.13725490196077</v>
      </c>
      <c r="F105">
        <v>316</v>
      </c>
      <c r="G105">
        <f t="shared" si="1"/>
        <v>309.80392156862746</v>
      </c>
      <c r="H105" s="9" t="s">
        <v>88</v>
      </c>
    </row>
    <row r="106" spans="3:8">
      <c r="C106">
        <v>100</v>
      </c>
      <c r="D106">
        <v>590</v>
      </c>
      <c r="E106">
        <f t="shared" si="0"/>
        <v>578.43137254901956</v>
      </c>
      <c r="F106">
        <v>271</v>
      </c>
      <c r="G106">
        <f t="shared" si="1"/>
        <v>265.68627450980392</v>
      </c>
      <c r="H106" s="9" t="s">
        <v>88</v>
      </c>
    </row>
    <row r="107" spans="3:8">
      <c r="C107">
        <v>101</v>
      </c>
      <c r="D107">
        <v>383</v>
      </c>
      <c r="E107">
        <f t="shared" si="0"/>
        <v>375.49019607843138</v>
      </c>
      <c r="F107">
        <v>151</v>
      </c>
      <c r="G107">
        <f t="shared" si="1"/>
        <v>148.0392156862745</v>
      </c>
      <c r="H107" s="9" t="s">
        <v>88</v>
      </c>
    </row>
    <row r="108" spans="3:8">
      <c r="C108">
        <v>102</v>
      </c>
      <c r="D108">
        <v>124</v>
      </c>
      <c r="E108">
        <f t="shared" si="0"/>
        <v>121.56862745098039</v>
      </c>
      <c r="F108">
        <v>63</v>
      </c>
      <c r="G108">
        <f t="shared" si="1"/>
        <v>61.764705882352942</v>
      </c>
      <c r="H108" s="9" t="s">
        <v>88</v>
      </c>
    </row>
    <row r="109" spans="3:8">
      <c r="C109">
        <v>103</v>
      </c>
      <c r="D109">
        <v>618</v>
      </c>
      <c r="E109">
        <f t="shared" si="0"/>
        <v>605.88235294117646</v>
      </c>
      <c r="F109">
        <v>483</v>
      </c>
      <c r="G109">
        <f t="shared" si="1"/>
        <v>473.52941176470586</v>
      </c>
      <c r="H109" s="9" t="s">
        <v>88</v>
      </c>
    </row>
    <row r="110" spans="3:8">
      <c r="C110">
        <v>104</v>
      </c>
      <c r="D110">
        <v>420</v>
      </c>
      <c r="E110">
        <f t="shared" si="0"/>
        <v>411.76470588235293</v>
      </c>
      <c r="F110">
        <v>300</v>
      </c>
      <c r="G110">
        <f t="shared" si="1"/>
        <v>294.11764705882354</v>
      </c>
      <c r="H110" s="9" t="s">
        <v>88</v>
      </c>
    </row>
    <row r="111" spans="3:8">
      <c r="C111">
        <v>105</v>
      </c>
      <c r="D111">
        <v>622</v>
      </c>
      <c r="E111">
        <f t="shared" si="0"/>
        <v>609.8039215686274</v>
      </c>
      <c r="F111">
        <v>297</v>
      </c>
      <c r="G111">
        <f t="shared" si="1"/>
        <v>291.1764705882353</v>
      </c>
      <c r="H111" s="9" t="s">
        <v>88</v>
      </c>
    </row>
    <row r="112" spans="3:8">
      <c r="C112">
        <v>106</v>
      </c>
      <c r="D112">
        <v>150</v>
      </c>
      <c r="E112">
        <f t="shared" si="0"/>
        <v>147.05882352941177</v>
      </c>
      <c r="F112">
        <v>138</v>
      </c>
      <c r="G112">
        <f t="shared" si="1"/>
        <v>135.29411764705881</v>
      </c>
      <c r="H112" s="9" t="s">
        <v>88</v>
      </c>
    </row>
    <row r="113" spans="3:8">
      <c r="C113">
        <v>107</v>
      </c>
      <c r="D113">
        <v>400</v>
      </c>
      <c r="E113">
        <f t="shared" si="0"/>
        <v>392.15686274509801</v>
      </c>
      <c r="F113">
        <v>345</v>
      </c>
      <c r="G113">
        <f t="shared" si="1"/>
        <v>338.23529411764707</v>
      </c>
      <c r="H113" s="9" t="s">
        <v>88</v>
      </c>
    </row>
    <row r="114" spans="3:8">
      <c r="C114">
        <v>108</v>
      </c>
      <c r="D114">
        <v>570</v>
      </c>
      <c r="E114">
        <f t="shared" si="0"/>
        <v>558.82352941176464</v>
      </c>
      <c r="F114">
        <v>279</v>
      </c>
      <c r="G114">
        <f t="shared" si="1"/>
        <v>273.52941176470586</v>
      </c>
      <c r="H114" s="9" t="s">
        <v>88</v>
      </c>
    </row>
    <row r="115" spans="3:8">
      <c r="C115">
        <v>109</v>
      </c>
      <c r="D115">
        <v>515</v>
      </c>
      <c r="E115">
        <f t="shared" si="0"/>
        <v>504.9019607843137</v>
      </c>
      <c r="F115">
        <v>296</v>
      </c>
      <c r="G115">
        <f t="shared" si="1"/>
        <v>290.19607843137254</v>
      </c>
      <c r="H115" s="9" t="s">
        <v>88</v>
      </c>
    </row>
    <row r="116" spans="3:8">
      <c r="C116">
        <v>110</v>
      </c>
      <c r="D116">
        <v>748</v>
      </c>
      <c r="E116">
        <f t="shared" si="0"/>
        <v>733.33333333333326</v>
      </c>
      <c r="F116">
        <v>415</v>
      </c>
      <c r="G116">
        <f t="shared" si="1"/>
        <v>406.86274509803923</v>
      </c>
      <c r="H116" s="9" t="s">
        <v>88</v>
      </c>
    </row>
    <row r="117" spans="3:8">
      <c r="C117">
        <v>111</v>
      </c>
      <c r="D117">
        <v>366</v>
      </c>
      <c r="E117">
        <f t="shared" si="0"/>
        <v>358.8235294117647</v>
      </c>
      <c r="F117">
        <v>479</v>
      </c>
      <c r="G117">
        <f t="shared" si="1"/>
        <v>469.60784313725486</v>
      </c>
      <c r="H117" s="9" t="s">
        <v>88</v>
      </c>
    </row>
    <row r="118" spans="3:8">
      <c r="C118">
        <v>112</v>
      </c>
      <c r="D118">
        <v>277</v>
      </c>
      <c r="E118">
        <f t="shared" si="0"/>
        <v>271.56862745098039</v>
      </c>
      <c r="F118">
        <v>89</v>
      </c>
      <c r="G118">
        <f t="shared" si="1"/>
        <v>87.254901960784309</v>
      </c>
      <c r="H118" s="9" t="s">
        <v>88</v>
      </c>
    </row>
    <row r="119" spans="3:8">
      <c r="C119">
        <v>113</v>
      </c>
      <c r="D119">
        <v>412</v>
      </c>
      <c r="E119">
        <f t="shared" si="0"/>
        <v>403.92156862745094</v>
      </c>
      <c r="F119">
        <v>49</v>
      </c>
      <c r="G119">
        <f t="shared" si="1"/>
        <v>48.03921568627451</v>
      </c>
      <c r="H119" s="9" t="s">
        <v>88</v>
      </c>
    </row>
    <row r="120" spans="3:8">
      <c r="C120">
        <v>114</v>
      </c>
      <c r="D120">
        <v>349</v>
      </c>
      <c r="E120">
        <f t="shared" si="0"/>
        <v>342.15686274509801</v>
      </c>
      <c r="F120">
        <v>148</v>
      </c>
      <c r="G120">
        <f t="shared" si="1"/>
        <v>145.09803921568627</v>
      </c>
      <c r="H120" s="9" t="s">
        <v>88</v>
      </c>
    </row>
    <row r="121" spans="3:8">
      <c r="C121">
        <v>115</v>
      </c>
      <c r="D121">
        <v>476</v>
      </c>
      <c r="E121">
        <f t="shared" si="0"/>
        <v>466.66666666666663</v>
      </c>
      <c r="F121">
        <v>250</v>
      </c>
      <c r="G121">
        <f t="shared" si="1"/>
        <v>245.09803921568627</v>
      </c>
      <c r="H121" s="9" t="s">
        <v>88</v>
      </c>
    </row>
    <row r="122" spans="3:8">
      <c r="C122">
        <v>116</v>
      </c>
      <c r="D122">
        <v>283</v>
      </c>
      <c r="E122">
        <f t="shared" si="0"/>
        <v>277.45098039215685</v>
      </c>
      <c r="F122">
        <v>36</v>
      </c>
      <c r="G122">
        <f t="shared" si="1"/>
        <v>35.294117647058819</v>
      </c>
      <c r="H122" s="9" t="s">
        <v>88</v>
      </c>
    </row>
    <row r="123" spans="3:8">
      <c r="C123">
        <v>117</v>
      </c>
      <c r="D123">
        <v>610</v>
      </c>
      <c r="E123">
        <f t="shared" si="0"/>
        <v>598.03921568627447</v>
      </c>
      <c r="F123">
        <v>245</v>
      </c>
      <c r="G123">
        <f t="shared" si="1"/>
        <v>240.19607843137254</v>
      </c>
      <c r="H123" s="9" t="s">
        <v>88</v>
      </c>
    </row>
    <row r="124" spans="3:8">
      <c r="C124">
        <v>118</v>
      </c>
      <c r="D124">
        <v>196</v>
      </c>
      <c r="E124">
        <f t="shared" si="0"/>
        <v>192.15686274509804</v>
      </c>
      <c r="F124">
        <v>210</v>
      </c>
      <c r="G124">
        <f t="shared" si="1"/>
        <v>205.88235294117646</v>
      </c>
      <c r="H124" s="9" t="s">
        <v>88</v>
      </c>
    </row>
    <row r="125" spans="3:8">
      <c r="C125">
        <v>119</v>
      </c>
      <c r="D125">
        <v>175</v>
      </c>
      <c r="E125">
        <f t="shared" si="0"/>
        <v>171.56862745098039</v>
      </c>
      <c r="F125">
        <v>116</v>
      </c>
      <c r="G125">
        <f t="shared" si="1"/>
        <v>113.72549019607843</v>
      </c>
      <c r="H125" s="9" t="s">
        <v>88</v>
      </c>
    </row>
    <row r="126" spans="3:8">
      <c r="C126">
        <v>120</v>
      </c>
      <c r="D126">
        <v>549</v>
      </c>
      <c r="E126">
        <f t="shared" si="0"/>
        <v>538.23529411764707</v>
      </c>
      <c r="F126">
        <v>166</v>
      </c>
      <c r="G126">
        <f t="shared" si="1"/>
        <v>162.74509803921569</v>
      </c>
      <c r="H126" s="9" t="s">
        <v>88</v>
      </c>
    </row>
    <row r="127" spans="3:8">
      <c r="C127">
        <v>121</v>
      </c>
      <c r="D127">
        <v>541</v>
      </c>
      <c r="E127">
        <f t="shared" si="0"/>
        <v>530.39215686274508</v>
      </c>
      <c r="F127">
        <v>166</v>
      </c>
      <c r="G127">
        <f t="shared" si="1"/>
        <v>162.74509803921569</v>
      </c>
      <c r="H127" s="9" t="s">
        <v>88</v>
      </c>
    </row>
    <row r="128" spans="3:8">
      <c r="C128">
        <v>122</v>
      </c>
      <c r="D128">
        <v>579</v>
      </c>
      <c r="E128">
        <f t="shared" si="0"/>
        <v>567.64705882352939</v>
      </c>
      <c r="F128">
        <v>143</v>
      </c>
      <c r="G128">
        <f t="shared" si="1"/>
        <v>140.19607843137254</v>
      </c>
      <c r="H128" s="9" t="s">
        <v>88</v>
      </c>
    </row>
    <row r="129" spans="3:8">
      <c r="C129">
        <v>123</v>
      </c>
      <c r="D129">
        <v>544</v>
      </c>
      <c r="E129">
        <f t="shared" si="0"/>
        <v>533.33333333333326</v>
      </c>
      <c r="F129">
        <v>313</v>
      </c>
      <c r="G129">
        <f t="shared" si="1"/>
        <v>306.86274509803923</v>
      </c>
      <c r="H129" s="9" t="s">
        <v>88</v>
      </c>
    </row>
    <row r="130" spans="3:8">
      <c r="C130">
        <v>124</v>
      </c>
      <c r="D130">
        <v>433</v>
      </c>
      <c r="E130">
        <f t="shared" si="0"/>
        <v>424.50980392156862</v>
      </c>
      <c r="F130">
        <v>352</v>
      </c>
      <c r="G130">
        <f t="shared" si="1"/>
        <v>345.09803921568624</v>
      </c>
      <c r="H130" s="9" t="s">
        <v>88</v>
      </c>
    </row>
    <row r="131" spans="3:8">
      <c r="C131">
        <v>125</v>
      </c>
      <c r="D131">
        <v>504</v>
      </c>
      <c r="E131">
        <f t="shared" si="0"/>
        <v>494.11764705882354</v>
      </c>
      <c r="F131">
        <v>366</v>
      </c>
      <c r="G131">
        <f t="shared" si="1"/>
        <v>358.8235294117647</v>
      </c>
      <c r="H131" s="9" t="s">
        <v>88</v>
      </c>
    </row>
    <row r="132" spans="3:8">
      <c r="C132">
        <v>126</v>
      </c>
      <c r="D132">
        <v>401</v>
      </c>
      <c r="E132">
        <f t="shared" si="0"/>
        <v>393.13725490196077</v>
      </c>
      <c r="F132">
        <v>169</v>
      </c>
      <c r="G132">
        <f t="shared" si="1"/>
        <v>165.68627450980392</v>
      </c>
      <c r="H132" s="9" t="s">
        <v>88</v>
      </c>
    </row>
    <row r="133" spans="3:8">
      <c r="C133">
        <v>127</v>
      </c>
      <c r="D133">
        <v>411</v>
      </c>
      <c r="E133">
        <f t="shared" si="0"/>
        <v>402.94117647058823</v>
      </c>
      <c r="F133">
        <v>342</v>
      </c>
      <c r="G133">
        <f t="shared" si="1"/>
        <v>335.29411764705878</v>
      </c>
      <c r="H133" s="9" t="s">
        <v>88</v>
      </c>
    </row>
    <row r="134" spans="3:8">
      <c r="C134">
        <v>128</v>
      </c>
      <c r="D134">
        <v>522</v>
      </c>
      <c r="E134">
        <f t="shared" si="0"/>
        <v>511.76470588235293</v>
      </c>
      <c r="F134">
        <v>420</v>
      </c>
      <c r="G134">
        <f t="shared" si="1"/>
        <v>411.76470588235293</v>
      </c>
      <c r="H134" s="9" t="s">
        <v>88</v>
      </c>
    </row>
    <row r="135" spans="3:8">
      <c r="C135">
        <v>129</v>
      </c>
      <c r="D135">
        <v>652</v>
      </c>
      <c r="E135">
        <f t="shared" si="0"/>
        <v>639.21568627450972</v>
      </c>
      <c r="F135">
        <v>369</v>
      </c>
      <c r="G135">
        <f t="shared" si="1"/>
        <v>361.76470588235293</v>
      </c>
      <c r="H135" s="9" t="s">
        <v>88</v>
      </c>
    </row>
    <row r="136" spans="3:8">
      <c r="C136">
        <v>130</v>
      </c>
      <c r="D136">
        <v>424</v>
      </c>
      <c r="E136">
        <f t="shared" si="0"/>
        <v>415.68627450980392</v>
      </c>
      <c r="F136">
        <v>222</v>
      </c>
      <c r="G136">
        <f t="shared" si="1"/>
        <v>217.64705882352939</v>
      </c>
      <c r="H136" s="9" t="s">
        <v>88</v>
      </c>
    </row>
    <row r="137" spans="3:8">
      <c r="C137">
        <v>131</v>
      </c>
      <c r="D137">
        <v>714</v>
      </c>
      <c r="E137">
        <f t="shared" si="0"/>
        <v>700</v>
      </c>
      <c r="F137">
        <v>300</v>
      </c>
      <c r="G137">
        <f t="shared" si="1"/>
        <v>294.11764705882354</v>
      </c>
      <c r="H137" s="9" t="s">
        <v>88</v>
      </c>
    </row>
    <row r="138" spans="3:8">
      <c r="C138">
        <v>132</v>
      </c>
      <c r="D138">
        <v>224</v>
      </c>
      <c r="E138">
        <f t="shared" si="0"/>
        <v>219.60784313725489</v>
      </c>
      <c r="F138">
        <v>118</v>
      </c>
      <c r="G138">
        <f t="shared" si="1"/>
        <v>115.68627450980392</v>
      </c>
      <c r="H138" s="9" t="s">
        <v>88</v>
      </c>
    </row>
    <row r="139" spans="3:8">
      <c r="C139">
        <v>133</v>
      </c>
      <c r="D139">
        <v>326</v>
      </c>
      <c r="E139">
        <f t="shared" si="0"/>
        <v>319.60784313725486</v>
      </c>
      <c r="F139">
        <v>226</v>
      </c>
      <c r="G139">
        <f t="shared" si="1"/>
        <v>221.56862745098039</v>
      </c>
      <c r="H139" s="9" t="s">
        <v>88</v>
      </c>
    </row>
    <row r="140" spans="3:8">
      <c r="C140">
        <v>134</v>
      </c>
      <c r="D140">
        <v>353</v>
      </c>
      <c r="E140">
        <f t="shared" si="0"/>
        <v>346.07843137254901</v>
      </c>
      <c r="F140">
        <v>18</v>
      </c>
      <c r="G140">
        <f t="shared" si="1"/>
        <v>17.647058823529409</v>
      </c>
      <c r="H140" s="9" t="s">
        <v>88</v>
      </c>
    </row>
    <row r="141" spans="3:8">
      <c r="C141">
        <v>135</v>
      </c>
      <c r="D141">
        <v>757</v>
      </c>
      <c r="E141">
        <f t="shared" si="0"/>
        <v>742.15686274509801</v>
      </c>
      <c r="F141">
        <v>108</v>
      </c>
      <c r="G141">
        <f t="shared" si="1"/>
        <v>105.88235294117646</v>
      </c>
      <c r="H141" s="9" t="s">
        <v>88</v>
      </c>
    </row>
    <row r="142" spans="3:8">
      <c r="C142">
        <v>136</v>
      </c>
      <c r="D142">
        <v>561</v>
      </c>
      <c r="E142">
        <f t="shared" si="0"/>
        <v>550</v>
      </c>
      <c r="F142">
        <v>120</v>
      </c>
      <c r="G142">
        <f t="shared" si="1"/>
        <v>117.64705882352941</v>
      </c>
      <c r="H142" s="9" t="s">
        <v>88</v>
      </c>
    </row>
    <row r="143" spans="3:8">
      <c r="C143">
        <v>137</v>
      </c>
      <c r="D143">
        <v>324</v>
      </c>
      <c r="E143">
        <f t="shared" si="0"/>
        <v>317.64705882352939</v>
      </c>
      <c r="F143">
        <v>186</v>
      </c>
      <c r="G143">
        <f t="shared" si="1"/>
        <v>182.35294117647058</v>
      </c>
      <c r="H143" s="9" t="s">
        <v>88</v>
      </c>
    </row>
    <row r="144" spans="3:8">
      <c r="C144">
        <v>138</v>
      </c>
      <c r="D144">
        <v>554</v>
      </c>
      <c r="E144">
        <f t="shared" si="0"/>
        <v>543.13725490196077</v>
      </c>
      <c r="F144">
        <v>267</v>
      </c>
      <c r="G144">
        <f t="shared" si="1"/>
        <v>261.76470588235293</v>
      </c>
      <c r="H144" s="9" t="s">
        <v>88</v>
      </c>
    </row>
    <row r="145" spans="3:8">
      <c r="C145">
        <v>139</v>
      </c>
      <c r="D145">
        <v>439</v>
      </c>
      <c r="E145">
        <f t="shared" si="0"/>
        <v>430.39215686274508</v>
      </c>
      <c r="F145">
        <v>99</v>
      </c>
      <c r="G145">
        <f t="shared" si="1"/>
        <v>97.058823529411754</v>
      </c>
      <c r="H145" s="9" t="s">
        <v>88</v>
      </c>
    </row>
    <row r="146" spans="3:8">
      <c r="C146">
        <v>140</v>
      </c>
      <c r="D146">
        <v>237</v>
      </c>
      <c r="E146">
        <f t="shared" si="0"/>
        <v>232.35294117647058</v>
      </c>
      <c r="F146">
        <v>75</v>
      </c>
      <c r="G146">
        <f t="shared" si="1"/>
        <v>73.529411764705884</v>
      </c>
      <c r="H146" s="9" t="s">
        <v>88</v>
      </c>
    </row>
    <row r="147" spans="3:8">
      <c r="C147">
        <v>141</v>
      </c>
      <c r="D147">
        <v>66</v>
      </c>
      <c r="E147">
        <f t="shared" si="0"/>
        <v>64.705882352941174</v>
      </c>
      <c r="F147">
        <v>60</v>
      </c>
      <c r="G147">
        <f t="shared" si="1"/>
        <v>58.823529411764703</v>
      </c>
      <c r="H147" s="9" t="s">
        <v>88</v>
      </c>
    </row>
    <row r="148" spans="3:8">
      <c r="C148">
        <v>142</v>
      </c>
      <c r="D148">
        <v>309</v>
      </c>
      <c r="E148">
        <f t="shared" si="0"/>
        <v>302.94117647058823</v>
      </c>
      <c r="F148">
        <v>141</v>
      </c>
      <c r="G148">
        <f t="shared" si="1"/>
        <v>138.23529411764704</v>
      </c>
      <c r="H148" s="9" t="s">
        <v>88</v>
      </c>
    </row>
    <row r="149" spans="3:8">
      <c r="C149">
        <v>143</v>
      </c>
      <c r="D149">
        <v>150</v>
      </c>
      <c r="E149">
        <f t="shared" si="0"/>
        <v>147.05882352941177</v>
      </c>
      <c r="F149">
        <v>90</v>
      </c>
      <c r="G149">
        <f t="shared" si="1"/>
        <v>88.235294117647058</v>
      </c>
      <c r="H149" s="9" t="s">
        <v>88</v>
      </c>
    </row>
    <row r="150" spans="3:8">
      <c r="C150">
        <v>144</v>
      </c>
      <c r="D150">
        <v>252</v>
      </c>
      <c r="E150">
        <f t="shared" si="0"/>
        <v>247.05882352941177</v>
      </c>
      <c r="F150">
        <v>89</v>
      </c>
      <c r="G150">
        <f t="shared" si="1"/>
        <v>87.254901960784309</v>
      </c>
      <c r="H150" s="9" t="s">
        <v>88</v>
      </c>
    </row>
    <row r="151" spans="3:8">
      <c r="C151">
        <v>145</v>
      </c>
      <c r="D151">
        <v>76</v>
      </c>
      <c r="E151">
        <f t="shared" si="0"/>
        <v>74.509803921568619</v>
      </c>
      <c r="F151">
        <v>49</v>
      </c>
      <c r="G151">
        <f t="shared" si="1"/>
        <v>48.03921568627451</v>
      </c>
      <c r="H151" s="9" t="s">
        <v>88</v>
      </c>
    </row>
    <row r="152" spans="3:8">
      <c r="C152">
        <v>146</v>
      </c>
      <c r="D152">
        <v>315</v>
      </c>
      <c r="E152">
        <f t="shared" si="0"/>
        <v>308.8235294117647</v>
      </c>
      <c r="F152">
        <v>135</v>
      </c>
      <c r="G152">
        <f t="shared" si="1"/>
        <v>132.35294117647058</v>
      </c>
      <c r="H152" s="9" t="s">
        <v>88</v>
      </c>
    </row>
    <row r="153" spans="3:8">
      <c r="C153">
        <v>147</v>
      </c>
      <c r="D153">
        <v>180</v>
      </c>
      <c r="E153">
        <f t="shared" si="0"/>
        <v>176.47058823529412</v>
      </c>
      <c r="F153">
        <v>168</v>
      </c>
      <c r="G153">
        <f t="shared" si="1"/>
        <v>164.70588235294116</v>
      </c>
      <c r="H153" s="9" t="s">
        <v>88</v>
      </c>
    </row>
    <row r="154" spans="3:8">
      <c r="C154">
        <v>148</v>
      </c>
      <c r="D154">
        <v>75</v>
      </c>
      <c r="E154">
        <f t="shared" si="0"/>
        <v>73.529411764705884</v>
      </c>
      <c r="F154">
        <v>55</v>
      </c>
      <c r="G154">
        <f t="shared" si="1"/>
        <v>53.921568627450981</v>
      </c>
      <c r="H154" s="9" t="s">
        <v>88</v>
      </c>
    </row>
    <row r="155" spans="3:8">
      <c r="C155">
        <v>149</v>
      </c>
      <c r="D155">
        <v>161</v>
      </c>
      <c r="E155">
        <f t="shared" si="0"/>
        <v>157.84313725490196</v>
      </c>
      <c r="F155">
        <v>51</v>
      </c>
      <c r="G155">
        <f t="shared" si="1"/>
        <v>50</v>
      </c>
      <c r="H155" s="9" t="s">
        <v>88</v>
      </c>
    </row>
    <row r="156" spans="3:8">
      <c r="C156">
        <v>150</v>
      </c>
      <c r="D156">
        <v>192</v>
      </c>
      <c r="E156">
        <f t="shared" si="0"/>
        <v>188.23529411764704</v>
      </c>
      <c r="F156">
        <v>197</v>
      </c>
      <c r="G156">
        <f t="shared" si="1"/>
        <v>193.13725490196077</v>
      </c>
      <c r="H156" s="9" t="s">
        <v>88</v>
      </c>
    </row>
    <row r="158" spans="3:8">
      <c r="C158" s="3" t="s">
        <v>24</v>
      </c>
      <c r="D158">
        <f>AVERAGE(D7:D156)</f>
        <v>482.27333333333331</v>
      </c>
      <c r="E158">
        <f>AVERAGE(E7:E156)</f>
        <v>472.81699346405219</v>
      </c>
      <c r="F158">
        <f>AVERAGE(F7:F156)</f>
        <v>239.23333333333332</v>
      </c>
      <c r="G158">
        <f>AVERAGE(G7:G156)</f>
        <v>234.54248366013061</v>
      </c>
    </row>
    <row r="159" spans="3:8">
      <c r="C159" t="s">
        <v>39</v>
      </c>
      <c r="D159">
        <f>MAX(D7:D156)</f>
        <v>1618</v>
      </c>
      <c r="E159">
        <f>MAX(E7:E156)</f>
        <v>1586.2745098039215</v>
      </c>
      <c r="F159">
        <f>MAX(F7:F156)</f>
        <v>557</v>
      </c>
      <c r="G159">
        <f>MAX(G7:G156)</f>
        <v>546.07843137254895</v>
      </c>
    </row>
    <row r="160" spans="3:8">
      <c r="C160" t="s">
        <v>38</v>
      </c>
      <c r="D160">
        <f>MIN(D7:D157)</f>
        <v>64</v>
      </c>
      <c r="E160">
        <f>MIN(E7:E157)</f>
        <v>62.745098039215684</v>
      </c>
      <c r="F160">
        <f>MIN(F7:F157)</f>
        <v>18</v>
      </c>
      <c r="G160">
        <f>MIN(G7:G156)</f>
        <v>17.647058823529409</v>
      </c>
    </row>
    <row r="161" spans="3:7">
      <c r="C161" t="s">
        <v>41</v>
      </c>
      <c r="D161">
        <f>MEDIAN(D7:D156)</f>
        <v>484.5</v>
      </c>
      <c r="E161">
        <f t="shared" ref="E161:G161" si="2">MEDIAN(E7:E156)</f>
        <v>475</v>
      </c>
      <c r="F161">
        <f t="shared" si="2"/>
        <v>232.5</v>
      </c>
      <c r="G161">
        <f t="shared" si="2"/>
        <v>227.94117647058823</v>
      </c>
    </row>
    <row r="162" spans="3:7">
      <c r="C162" t="s">
        <v>113</v>
      </c>
      <c r="D162">
        <f>_xlfn.STDEV.S(D7:D156)</f>
        <v>235.55557336470889</v>
      </c>
      <c r="E162">
        <f>_xlfn.STDEV.S(E7:E156)</f>
        <v>230.93683663206758</v>
      </c>
      <c r="F162">
        <f>_xlfn.STDEV.S(F7:F156)</f>
        <v>119.96612590499556</v>
      </c>
      <c r="G162">
        <f>_xlfn.STDEV.S(G7:G156)</f>
        <v>117.61384892646636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8"/>
  <sheetViews>
    <sheetView topLeftCell="A146" workbookViewId="0">
      <selection activeCell="L11" sqref="L11"/>
    </sheetView>
  </sheetViews>
  <sheetFormatPr baseColWidth="10" defaultRowHeight="15"/>
  <cols>
    <col min="5" max="5" width="10.83203125" style="3"/>
  </cols>
  <sheetData>
    <row r="1" spans="1:9">
      <c r="A1" s="8" t="s">
        <v>73</v>
      </c>
      <c r="D1" s="8" t="s">
        <v>176</v>
      </c>
    </row>
    <row r="2" spans="1:9">
      <c r="A2" t="s">
        <v>20</v>
      </c>
      <c r="B2" t="s">
        <v>82</v>
      </c>
    </row>
    <row r="3" spans="1:9">
      <c r="A3">
        <v>251.10599999999999</v>
      </c>
      <c r="B3">
        <v>250</v>
      </c>
      <c r="D3" t="s">
        <v>58</v>
      </c>
      <c r="E3" t="s">
        <v>80</v>
      </c>
      <c r="F3" t="s">
        <v>84</v>
      </c>
      <c r="G3" t="s">
        <v>95</v>
      </c>
      <c r="H3" s="3" t="s">
        <v>96</v>
      </c>
      <c r="I3" s="3" t="s">
        <v>76</v>
      </c>
    </row>
    <row r="4" spans="1:9">
      <c r="A4">
        <v>1</v>
      </c>
      <c r="B4">
        <v>0.99601593625498008</v>
      </c>
      <c r="D4">
        <v>1</v>
      </c>
      <c r="E4">
        <v>282.46600000000001</v>
      </c>
      <c r="F4" s="3">
        <v>281.34063745019921</v>
      </c>
      <c r="G4">
        <v>216.375</v>
      </c>
      <c r="H4">
        <v>215.51294820717132</v>
      </c>
      <c r="I4" s="9" t="s">
        <v>87</v>
      </c>
    </row>
    <row r="5" spans="1:9">
      <c r="D5">
        <v>2</v>
      </c>
      <c r="E5">
        <v>222.91</v>
      </c>
      <c r="F5" s="3">
        <v>222.0219123505976</v>
      </c>
      <c r="G5">
        <v>139.46</v>
      </c>
      <c r="H5">
        <v>138.90438247011954</v>
      </c>
      <c r="I5" s="9" t="s">
        <v>87</v>
      </c>
    </row>
    <row r="6" spans="1:9">
      <c r="D6">
        <v>3</v>
      </c>
      <c r="E6">
        <v>138.13</v>
      </c>
      <c r="F6" s="3">
        <v>137.57968127490039</v>
      </c>
      <c r="G6">
        <v>71.12</v>
      </c>
      <c r="H6">
        <v>70.836653386454188</v>
      </c>
      <c r="I6" s="9" t="s">
        <v>87</v>
      </c>
    </row>
    <row r="7" spans="1:9">
      <c r="D7">
        <v>4</v>
      </c>
      <c r="E7">
        <v>103.446</v>
      </c>
      <c r="F7" s="3">
        <v>103.03386454183267</v>
      </c>
      <c r="G7">
        <v>85.906999999999996</v>
      </c>
      <c r="H7">
        <v>85.564741035856571</v>
      </c>
      <c r="I7" s="9" t="s">
        <v>87</v>
      </c>
    </row>
    <row r="8" spans="1:9">
      <c r="D8">
        <v>5</v>
      </c>
      <c r="E8">
        <v>157.892</v>
      </c>
      <c r="F8" s="3">
        <v>157.26294820717132</v>
      </c>
      <c r="G8">
        <v>136.821</v>
      </c>
      <c r="H8">
        <v>136.27589641434264</v>
      </c>
      <c r="I8" s="9" t="s">
        <v>87</v>
      </c>
    </row>
    <row r="9" spans="1:9">
      <c r="D9">
        <v>6</v>
      </c>
      <c r="E9">
        <v>143.405</v>
      </c>
      <c r="F9" s="3">
        <v>142.83366533864543</v>
      </c>
      <c r="G9">
        <v>87</v>
      </c>
      <c r="H9">
        <v>86.653386454183263</v>
      </c>
      <c r="I9" s="9" t="s">
        <v>87</v>
      </c>
    </row>
    <row r="10" spans="1:9">
      <c r="D10">
        <v>7</v>
      </c>
      <c r="E10">
        <v>118.816</v>
      </c>
      <c r="F10" s="3">
        <v>118.34262948207171</v>
      </c>
      <c r="G10">
        <v>59.548000000000002</v>
      </c>
      <c r="H10">
        <v>59.310756972111555</v>
      </c>
      <c r="I10" s="9" t="s">
        <v>87</v>
      </c>
    </row>
    <row r="11" spans="1:9">
      <c r="D11">
        <v>8</v>
      </c>
      <c r="E11">
        <v>107.541</v>
      </c>
      <c r="F11" s="3">
        <v>107.11254980079681</v>
      </c>
      <c r="G11">
        <v>72.498000000000005</v>
      </c>
      <c r="H11">
        <v>72.209163346613551</v>
      </c>
      <c r="I11" s="9" t="s">
        <v>87</v>
      </c>
    </row>
    <row r="12" spans="1:9">
      <c r="D12">
        <v>9</v>
      </c>
      <c r="E12">
        <v>148.18899999999999</v>
      </c>
      <c r="F12" s="3">
        <v>147.59860557768923</v>
      </c>
      <c r="G12">
        <v>91.438999999999993</v>
      </c>
      <c r="H12">
        <v>91.07470119521912</v>
      </c>
      <c r="I12" s="9" t="s">
        <v>87</v>
      </c>
    </row>
    <row r="13" spans="1:9">
      <c r="D13">
        <v>10</v>
      </c>
      <c r="E13">
        <v>557.55600000000004</v>
      </c>
      <c r="F13" s="3">
        <v>555.33466135458173</v>
      </c>
      <c r="G13">
        <v>567.56299999999999</v>
      </c>
      <c r="H13">
        <v>565.30179282868528</v>
      </c>
      <c r="I13" t="s">
        <v>83</v>
      </c>
    </row>
    <row r="14" spans="1:9">
      <c r="D14">
        <v>11</v>
      </c>
      <c r="E14">
        <v>164.125</v>
      </c>
      <c r="F14" s="3">
        <v>163.47111553784862</v>
      </c>
      <c r="G14">
        <v>130.25</v>
      </c>
      <c r="H14">
        <v>129.73107569721117</v>
      </c>
      <c r="I14" s="9" t="s">
        <v>87</v>
      </c>
    </row>
    <row r="15" spans="1:9">
      <c r="D15">
        <v>12</v>
      </c>
      <c r="E15">
        <v>249.506</v>
      </c>
      <c r="F15" s="3">
        <v>248.51195219123505</v>
      </c>
      <c r="G15">
        <v>150.74799999999999</v>
      </c>
      <c r="H15">
        <v>150.14741035856574</v>
      </c>
      <c r="I15" s="9" t="s">
        <v>87</v>
      </c>
    </row>
    <row r="16" spans="1:9">
      <c r="D16">
        <v>13</v>
      </c>
      <c r="E16">
        <v>100.623</v>
      </c>
      <c r="F16" s="3">
        <v>100.22211155378487</v>
      </c>
      <c r="G16">
        <v>87.206999999999994</v>
      </c>
      <c r="H16">
        <v>86.859561752988043</v>
      </c>
      <c r="I16" s="9" t="s">
        <v>87</v>
      </c>
    </row>
    <row r="17" spans="4:9">
      <c r="D17">
        <v>14</v>
      </c>
      <c r="E17">
        <v>188.452</v>
      </c>
      <c r="F17" s="3">
        <v>187.70119521912349</v>
      </c>
      <c r="G17">
        <v>161.55500000000001</v>
      </c>
      <c r="H17">
        <v>160.91135458167332</v>
      </c>
      <c r="I17" s="9" t="s">
        <v>87</v>
      </c>
    </row>
    <row r="18" spans="4:9">
      <c r="D18">
        <v>15</v>
      </c>
      <c r="E18">
        <v>197.226</v>
      </c>
      <c r="F18" s="3">
        <v>196.4402390438247</v>
      </c>
      <c r="G18">
        <v>170.47300000000001</v>
      </c>
      <c r="H18">
        <v>169.79382470119523</v>
      </c>
      <c r="I18" s="9" t="s">
        <v>87</v>
      </c>
    </row>
    <row r="19" spans="4:9">
      <c r="D19">
        <v>16</v>
      </c>
      <c r="E19">
        <v>294.87099999999998</v>
      </c>
      <c r="F19" s="3">
        <v>293.69621513944219</v>
      </c>
      <c r="G19">
        <v>214.51599999999999</v>
      </c>
      <c r="H19">
        <v>213.66135458167329</v>
      </c>
      <c r="I19" s="9" t="s">
        <v>87</v>
      </c>
    </row>
    <row r="20" spans="4:9">
      <c r="D20">
        <v>17</v>
      </c>
      <c r="E20">
        <v>232.863</v>
      </c>
      <c r="F20" s="3">
        <v>231.93525896414343</v>
      </c>
      <c r="G20">
        <v>191.36600000000001</v>
      </c>
      <c r="H20">
        <v>190.60358565737053</v>
      </c>
      <c r="I20" s="9" t="s">
        <v>87</v>
      </c>
    </row>
    <row r="21" spans="4:9">
      <c r="D21">
        <v>18</v>
      </c>
      <c r="E21">
        <v>150.65899999999999</v>
      </c>
      <c r="F21" s="3">
        <v>150.05876494023903</v>
      </c>
      <c r="G21">
        <v>89.045000000000002</v>
      </c>
      <c r="H21">
        <v>88.690239043824704</v>
      </c>
      <c r="I21" s="9" t="s">
        <v>87</v>
      </c>
    </row>
    <row r="22" spans="4:9">
      <c r="D22">
        <v>19</v>
      </c>
      <c r="E22">
        <v>180.1</v>
      </c>
      <c r="F22" s="3">
        <v>179.38247011952191</v>
      </c>
      <c r="G22">
        <v>128.86000000000001</v>
      </c>
      <c r="H22">
        <v>128.34661354581675</v>
      </c>
      <c r="I22" s="9" t="s">
        <v>87</v>
      </c>
    </row>
    <row r="23" spans="4:9">
      <c r="D23">
        <v>20</v>
      </c>
      <c r="E23">
        <v>161.22</v>
      </c>
      <c r="F23" s="3">
        <v>160.57768924302789</v>
      </c>
      <c r="G23">
        <v>89.094999999999999</v>
      </c>
      <c r="H23">
        <v>88.740039840637451</v>
      </c>
      <c r="I23" s="9" t="s">
        <v>87</v>
      </c>
    </row>
    <row r="24" spans="4:9">
      <c r="D24">
        <v>21</v>
      </c>
      <c r="E24">
        <v>217.86699999999999</v>
      </c>
      <c r="F24" s="3">
        <v>216.99900398406373</v>
      </c>
      <c r="G24">
        <v>157.892</v>
      </c>
      <c r="H24">
        <v>157.26294820717132</v>
      </c>
      <c r="I24" s="9" t="s">
        <v>87</v>
      </c>
    </row>
    <row r="25" spans="4:9">
      <c r="D25">
        <v>22</v>
      </c>
      <c r="E25">
        <v>215.35300000000001</v>
      </c>
      <c r="F25" s="3">
        <v>214.49501992031873</v>
      </c>
      <c r="G25">
        <v>175.80099999999999</v>
      </c>
      <c r="H25">
        <v>175.10059760956173</v>
      </c>
      <c r="I25" s="9" t="s">
        <v>87</v>
      </c>
    </row>
    <row r="26" spans="4:9">
      <c r="D26">
        <v>23</v>
      </c>
      <c r="E26">
        <v>120.934</v>
      </c>
      <c r="F26" s="3">
        <v>120.45219123505976</v>
      </c>
      <c r="G26">
        <v>81.608999999999995</v>
      </c>
      <c r="H26">
        <v>81.283864541832671</v>
      </c>
      <c r="I26" s="9" t="s">
        <v>87</v>
      </c>
    </row>
    <row r="27" spans="4:9">
      <c r="D27">
        <v>24</v>
      </c>
      <c r="E27">
        <v>182.779</v>
      </c>
      <c r="F27" s="3">
        <v>182.05079681274901</v>
      </c>
      <c r="G27">
        <v>148.946</v>
      </c>
      <c r="H27">
        <v>148.35258964143426</v>
      </c>
      <c r="I27" s="9" t="s">
        <v>87</v>
      </c>
    </row>
    <row r="28" spans="4:9">
      <c r="D28">
        <v>25</v>
      </c>
      <c r="E28">
        <v>149.21799999999999</v>
      </c>
      <c r="F28" s="3">
        <v>148.6235059760956</v>
      </c>
      <c r="G28">
        <v>147.12200000000001</v>
      </c>
      <c r="H28">
        <v>146.53585657370519</v>
      </c>
      <c r="I28" s="9" t="s">
        <v>87</v>
      </c>
    </row>
    <row r="29" spans="4:9">
      <c r="D29">
        <v>26</v>
      </c>
      <c r="E29">
        <v>133.79499999999999</v>
      </c>
      <c r="F29" s="3">
        <v>133.26195219123505</v>
      </c>
      <c r="G29">
        <v>123.693</v>
      </c>
      <c r="H29">
        <v>123.20019920318725</v>
      </c>
      <c r="I29" s="9" t="s">
        <v>87</v>
      </c>
    </row>
    <row r="30" spans="4:9">
      <c r="D30">
        <v>27</v>
      </c>
      <c r="E30">
        <v>219.02099999999999</v>
      </c>
      <c r="F30" s="3">
        <v>218.14840637450197</v>
      </c>
      <c r="G30">
        <v>147.76300000000001</v>
      </c>
      <c r="H30">
        <v>147.17430278884461</v>
      </c>
      <c r="I30" s="9" t="s">
        <v>87</v>
      </c>
    </row>
    <row r="31" spans="4:9">
      <c r="D31">
        <v>28</v>
      </c>
      <c r="E31">
        <v>120.075</v>
      </c>
      <c r="F31" s="3">
        <v>119.59661354581674</v>
      </c>
      <c r="G31">
        <v>102.044</v>
      </c>
      <c r="H31">
        <v>101.63745019920319</v>
      </c>
      <c r="I31" s="9" t="s">
        <v>87</v>
      </c>
    </row>
    <row r="32" spans="4:9">
      <c r="D32">
        <v>29</v>
      </c>
      <c r="E32">
        <v>237.626</v>
      </c>
      <c r="F32" s="3">
        <v>236.67928286852589</v>
      </c>
      <c r="G32">
        <v>174.02600000000001</v>
      </c>
      <c r="H32">
        <v>173.33266932270917</v>
      </c>
      <c r="I32" s="9" t="s">
        <v>87</v>
      </c>
    </row>
    <row r="33" spans="4:9">
      <c r="D33">
        <v>30</v>
      </c>
      <c r="E33">
        <v>142.27099999999999</v>
      </c>
      <c r="F33" s="3">
        <v>141.70418326693226</v>
      </c>
      <c r="G33">
        <v>101.514</v>
      </c>
      <c r="H33">
        <v>101.10956175298804</v>
      </c>
      <c r="I33" s="9" t="s">
        <v>87</v>
      </c>
    </row>
    <row r="34" spans="4:9">
      <c r="D34">
        <v>31</v>
      </c>
      <c r="E34">
        <v>106.827</v>
      </c>
      <c r="F34" s="3">
        <v>106.40139442231076</v>
      </c>
      <c r="G34">
        <v>90.448999999999998</v>
      </c>
      <c r="H34">
        <v>90.088645418326692</v>
      </c>
      <c r="I34" s="9" t="s">
        <v>87</v>
      </c>
    </row>
    <row r="35" spans="4:9">
      <c r="D35">
        <v>32</v>
      </c>
      <c r="E35">
        <v>156.029</v>
      </c>
      <c r="F35" s="3">
        <v>155.40737051792829</v>
      </c>
      <c r="G35">
        <v>151.69999999999999</v>
      </c>
      <c r="H35">
        <v>151.09561752988046</v>
      </c>
      <c r="I35" s="9" t="s">
        <v>87</v>
      </c>
    </row>
    <row r="36" spans="4:9">
      <c r="D36">
        <v>33</v>
      </c>
      <c r="E36">
        <v>173.404</v>
      </c>
      <c r="F36" s="3">
        <v>172.71314741035857</v>
      </c>
      <c r="G36">
        <v>103.57599999999999</v>
      </c>
      <c r="H36">
        <v>103.16334661354581</v>
      </c>
      <c r="I36" s="9" t="s">
        <v>87</v>
      </c>
    </row>
    <row r="37" spans="4:9">
      <c r="D37">
        <v>34</v>
      </c>
      <c r="E37">
        <v>148.18899999999999</v>
      </c>
      <c r="F37" s="3">
        <v>147.59860557768923</v>
      </c>
      <c r="G37">
        <v>147.733</v>
      </c>
      <c r="H37">
        <v>147.14442231075697</v>
      </c>
      <c r="I37" s="9" t="s">
        <v>87</v>
      </c>
    </row>
    <row r="38" spans="4:9">
      <c r="D38">
        <v>35</v>
      </c>
      <c r="E38">
        <v>115.91800000000001</v>
      </c>
      <c r="F38" s="3">
        <v>115.45617529880479</v>
      </c>
      <c r="G38">
        <v>115.526</v>
      </c>
      <c r="H38">
        <v>115.06573705179282</v>
      </c>
      <c r="I38" s="9" t="s">
        <v>87</v>
      </c>
    </row>
    <row r="39" spans="4:9">
      <c r="D39">
        <v>36</v>
      </c>
      <c r="E39">
        <v>170.81200000000001</v>
      </c>
      <c r="F39" s="3">
        <v>170.13147410358567</v>
      </c>
      <c r="G39">
        <v>95.293999999999997</v>
      </c>
      <c r="H39">
        <v>94.914342629482064</v>
      </c>
      <c r="I39" s="9" t="s">
        <v>87</v>
      </c>
    </row>
    <row r="40" spans="4:9">
      <c r="D40">
        <v>37</v>
      </c>
      <c r="E40">
        <v>114.158</v>
      </c>
      <c r="F40" s="3">
        <v>113.70318725099602</v>
      </c>
      <c r="G40">
        <v>99.724999999999994</v>
      </c>
      <c r="H40">
        <v>99.327689243027876</v>
      </c>
      <c r="I40" s="9" t="s">
        <v>87</v>
      </c>
    </row>
    <row r="41" spans="4:9">
      <c r="D41">
        <v>38</v>
      </c>
      <c r="E41">
        <v>212.047</v>
      </c>
      <c r="F41" s="3">
        <v>211.20219123505976</v>
      </c>
      <c r="G41">
        <v>119.54900000000001</v>
      </c>
      <c r="H41">
        <v>119.07270916334662</v>
      </c>
      <c r="I41" s="9" t="s">
        <v>87</v>
      </c>
    </row>
    <row r="42" spans="4:9">
      <c r="D42">
        <v>39</v>
      </c>
      <c r="E42">
        <v>84.906000000000006</v>
      </c>
      <c r="F42" s="3">
        <v>84.567729083665341</v>
      </c>
      <c r="G42">
        <v>79.881</v>
      </c>
      <c r="H42">
        <v>79.562749003984067</v>
      </c>
      <c r="I42" s="9" t="s">
        <v>87</v>
      </c>
    </row>
    <row r="43" spans="4:9">
      <c r="D43">
        <v>40</v>
      </c>
      <c r="E43">
        <v>231.01900000000001</v>
      </c>
      <c r="F43" s="3">
        <v>230.09860557768926</v>
      </c>
      <c r="G43">
        <v>165.68</v>
      </c>
      <c r="H43">
        <v>165.0199203187251</v>
      </c>
      <c r="I43" s="9" t="s">
        <v>87</v>
      </c>
    </row>
    <row r="44" spans="4:9">
      <c r="D44">
        <v>41</v>
      </c>
      <c r="E44">
        <v>181.221</v>
      </c>
      <c r="F44" s="3">
        <v>180.49900398406376</v>
      </c>
      <c r="G44">
        <v>114.23699999999999</v>
      </c>
      <c r="H44">
        <v>113.78187250996015</v>
      </c>
      <c r="I44" s="9" t="s">
        <v>87</v>
      </c>
    </row>
    <row r="45" spans="4:9">
      <c r="D45">
        <v>42</v>
      </c>
      <c r="E45">
        <v>185.952</v>
      </c>
      <c r="F45" s="3">
        <v>185.21115537848604</v>
      </c>
      <c r="G45">
        <v>129.13900000000001</v>
      </c>
      <c r="H45">
        <v>128.6245019920319</v>
      </c>
      <c r="I45" s="9" t="s">
        <v>87</v>
      </c>
    </row>
    <row r="46" spans="4:9">
      <c r="D46">
        <v>43</v>
      </c>
      <c r="E46">
        <v>147.03100000000001</v>
      </c>
      <c r="F46" s="3">
        <v>146.44521912350598</v>
      </c>
      <c r="G46">
        <v>123.03700000000001</v>
      </c>
      <c r="H46">
        <v>122.54681274900399</v>
      </c>
      <c r="I46" s="9" t="s">
        <v>87</v>
      </c>
    </row>
    <row r="47" spans="4:9">
      <c r="D47">
        <v>44</v>
      </c>
      <c r="E47">
        <v>126.89</v>
      </c>
      <c r="F47" s="3">
        <v>126.38446215139443</v>
      </c>
      <c r="G47">
        <v>117.614</v>
      </c>
      <c r="H47">
        <v>117.14541832669323</v>
      </c>
      <c r="I47" s="9" t="s">
        <v>87</v>
      </c>
    </row>
    <row r="48" spans="4:9">
      <c r="D48">
        <v>45</v>
      </c>
      <c r="E48">
        <v>130.25</v>
      </c>
      <c r="F48" s="3">
        <v>129.73107569721117</v>
      </c>
      <c r="G48">
        <v>109.202</v>
      </c>
      <c r="H48">
        <v>108.76693227091633</v>
      </c>
      <c r="I48" s="9" t="s">
        <v>87</v>
      </c>
    </row>
    <row r="49" spans="4:9">
      <c r="D49">
        <v>46</v>
      </c>
      <c r="E49">
        <v>94.236000000000004</v>
      </c>
      <c r="F49" s="3">
        <v>93.860557768924309</v>
      </c>
      <c r="G49">
        <v>81.221999999999994</v>
      </c>
      <c r="H49">
        <v>80.898406374501988</v>
      </c>
      <c r="I49" s="9" t="s">
        <v>87</v>
      </c>
    </row>
    <row r="50" spans="4:9">
      <c r="D50">
        <v>47</v>
      </c>
      <c r="E50">
        <v>187.542</v>
      </c>
      <c r="F50" s="3">
        <v>186.79482071713147</v>
      </c>
      <c r="G50">
        <v>102.044</v>
      </c>
      <c r="H50">
        <v>101.63745019920319</v>
      </c>
      <c r="I50" s="9" t="s">
        <v>87</v>
      </c>
    </row>
    <row r="51" spans="4:9">
      <c r="D51">
        <v>48</v>
      </c>
      <c r="E51">
        <v>224.43899999999999</v>
      </c>
      <c r="F51" s="3">
        <v>223.54482071713147</v>
      </c>
      <c r="G51">
        <v>197.773</v>
      </c>
      <c r="H51">
        <v>196.98505976095618</v>
      </c>
      <c r="I51" s="9" t="s">
        <v>87</v>
      </c>
    </row>
    <row r="52" spans="4:9">
      <c r="D52">
        <v>49</v>
      </c>
      <c r="E52">
        <v>141.12799999999999</v>
      </c>
      <c r="F52" s="3">
        <v>140.56573705179281</v>
      </c>
      <c r="G52">
        <v>75</v>
      </c>
      <c r="H52">
        <v>74.701195219123505</v>
      </c>
      <c r="I52" s="9" t="s">
        <v>87</v>
      </c>
    </row>
    <row r="53" spans="4:9">
      <c r="D53">
        <v>50</v>
      </c>
      <c r="E53">
        <v>173.81899999999999</v>
      </c>
      <c r="F53" s="3">
        <v>173.12649402390437</v>
      </c>
      <c r="G53">
        <v>160.1</v>
      </c>
      <c r="H53">
        <v>159.46215139442231</v>
      </c>
      <c r="I53" s="9" t="s">
        <v>87</v>
      </c>
    </row>
    <row r="54" spans="4:9">
      <c r="D54">
        <v>51</v>
      </c>
      <c r="E54">
        <v>207.78100000000001</v>
      </c>
      <c r="F54" s="3">
        <v>206.95318725099602</v>
      </c>
      <c r="G54">
        <v>177</v>
      </c>
      <c r="H54">
        <v>176.29482071713147</v>
      </c>
      <c r="I54" s="9" t="s">
        <v>87</v>
      </c>
    </row>
    <row r="55" spans="4:9">
      <c r="D55">
        <v>52</v>
      </c>
      <c r="E55">
        <v>216.60300000000001</v>
      </c>
      <c r="F55" s="3">
        <v>215.74003984063745</v>
      </c>
      <c r="G55">
        <v>135.83099999999999</v>
      </c>
      <c r="H55">
        <v>135.2898406374502</v>
      </c>
      <c r="I55" s="9" t="s">
        <v>87</v>
      </c>
    </row>
    <row r="56" spans="4:9">
      <c r="D56">
        <v>53</v>
      </c>
      <c r="E56">
        <v>232.298</v>
      </c>
      <c r="F56" s="3">
        <v>231.37250996015936</v>
      </c>
      <c r="G56">
        <v>98.406999999999996</v>
      </c>
      <c r="H56">
        <v>98.014940239043824</v>
      </c>
      <c r="I56" s="9" t="s">
        <v>87</v>
      </c>
    </row>
    <row r="57" spans="4:9">
      <c r="D57">
        <v>54</v>
      </c>
      <c r="E57">
        <v>108.374</v>
      </c>
      <c r="F57" s="3">
        <v>107.94223107569721</v>
      </c>
      <c r="G57">
        <v>92.418000000000006</v>
      </c>
      <c r="H57">
        <v>92.049800796812761</v>
      </c>
      <c r="I57" s="9" t="s">
        <v>87</v>
      </c>
    </row>
    <row r="58" spans="4:9">
      <c r="D58">
        <v>55</v>
      </c>
      <c r="E58">
        <v>88.588999999999999</v>
      </c>
      <c r="F58" s="3">
        <v>88.236055776892428</v>
      </c>
      <c r="G58">
        <v>65.795000000000002</v>
      </c>
      <c r="H58">
        <v>65.532868525896419</v>
      </c>
      <c r="I58" s="9" t="s">
        <v>87</v>
      </c>
    </row>
    <row r="59" spans="4:9">
      <c r="D59">
        <v>56</v>
      </c>
      <c r="E59">
        <v>294.93200000000002</v>
      </c>
      <c r="F59" s="3">
        <v>293.75697211155381</v>
      </c>
      <c r="G59">
        <v>264.27300000000002</v>
      </c>
      <c r="H59">
        <v>263.22011952191235</v>
      </c>
      <c r="I59" s="9" t="s">
        <v>87</v>
      </c>
    </row>
    <row r="60" spans="4:9">
      <c r="D60">
        <v>57</v>
      </c>
      <c r="E60">
        <v>150.65899999999999</v>
      </c>
      <c r="F60" s="3">
        <v>150.05876494023903</v>
      </c>
      <c r="G60">
        <v>127.279</v>
      </c>
      <c r="H60">
        <v>126.7719123505976</v>
      </c>
      <c r="I60" s="9" t="s">
        <v>87</v>
      </c>
    </row>
    <row r="61" spans="4:9">
      <c r="D61">
        <v>58</v>
      </c>
      <c r="E61">
        <v>639.06299999999999</v>
      </c>
      <c r="F61" s="3">
        <v>636.5169322709163</v>
      </c>
      <c r="G61">
        <v>618.00699999999995</v>
      </c>
      <c r="H61">
        <v>615.54482071713142</v>
      </c>
      <c r="I61" t="s">
        <v>83</v>
      </c>
    </row>
    <row r="62" spans="4:9">
      <c r="D62">
        <v>59</v>
      </c>
      <c r="E62">
        <v>411.274</v>
      </c>
      <c r="F62" s="3">
        <v>409.63545816733068</v>
      </c>
      <c r="G62">
        <v>399.04500000000002</v>
      </c>
      <c r="H62">
        <v>397.45517928286853</v>
      </c>
      <c r="I62" t="s">
        <v>83</v>
      </c>
    </row>
    <row r="63" spans="4:9">
      <c r="D63">
        <v>60</v>
      </c>
      <c r="E63">
        <v>181.24600000000001</v>
      </c>
      <c r="F63" s="3">
        <v>180.52390438247014</v>
      </c>
      <c r="G63">
        <v>128.16</v>
      </c>
      <c r="H63">
        <v>127.64940239043824</v>
      </c>
      <c r="I63" s="9" t="s">
        <v>87</v>
      </c>
    </row>
    <row r="64" spans="4:9">
      <c r="D64">
        <v>61</v>
      </c>
      <c r="E64">
        <v>123</v>
      </c>
      <c r="F64" s="3">
        <v>122.50996015936255</v>
      </c>
      <c r="G64">
        <v>240.15</v>
      </c>
      <c r="H64">
        <v>239.19322709163347</v>
      </c>
      <c r="I64" s="9" t="s">
        <v>87</v>
      </c>
    </row>
    <row r="65" spans="4:9">
      <c r="D65">
        <v>62</v>
      </c>
      <c r="E65">
        <v>123.693</v>
      </c>
      <c r="F65" s="3">
        <v>123.20019920318725</v>
      </c>
      <c r="G65">
        <v>218.197</v>
      </c>
      <c r="H65">
        <v>217.32768924302789</v>
      </c>
      <c r="I65" s="9" t="s">
        <v>87</v>
      </c>
    </row>
    <row r="66" spans="4:9">
      <c r="D66">
        <v>63</v>
      </c>
      <c r="E66">
        <v>184.85900000000001</v>
      </c>
      <c r="F66" s="3">
        <v>184.12250996015936</v>
      </c>
      <c r="G66">
        <v>91.585999999999999</v>
      </c>
      <c r="H66">
        <v>91.221115537848604</v>
      </c>
      <c r="I66" s="9" t="s">
        <v>87</v>
      </c>
    </row>
    <row r="67" spans="4:9">
      <c r="D67">
        <v>64</v>
      </c>
      <c r="E67">
        <v>191.85900000000001</v>
      </c>
      <c r="F67" s="3">
        <v>191.09462151394422</v>
      </c>
      <c r="G67">
        <v>101.514</v>
      </c>
      <c r="H67">
        <v>101.10956175298804</v>
      </c>
      <c r="I67" s="9" t="s">
        <v>87</v>
      </c>
    </row>
    <row r="68" spans="4:9">
      <c r="D68">
        <v>65</v>
      </c>
      <c r="E68">
        <v>169.31700000000001</v>
      </c>
      <c r="F68" s="3">
        <v>168.64243027888446</v>
      </c>
      <c r="G68">
        <v>150.47900000000001</v>
      </c>
      <c r="H68">
        <v>149.87948207171317</v>
      </c>
      <c r="I68" s="9" t="s">
        <v>87</v>
      </c>
    </row>
    <row r="69" spans="4:9">
      <c r="D69">
        <v>66</v>
      </c>
      <c r="E69">
        <v>201.59899999999999</v>
      </c>
      <c r="F69" s="3">
        <v>200.79581673306771</v>
      </c>
      <c r="G69">
        <v>153.029</v>
      </c>
      <c r="H69">
        <v>152.41932270916334</v>
      </c>
      <c r="I69" s="9" t="s">
        <v>87</v>
      </c>
    </row>
    <row r="70" spans="4:9">
      <c r="D70">
        <v>67</v>
      </c>
      <c r="E70">
        <v>154.87100000000001</v>
      </c>
      <c r="F70" s="3">
        <v>154.25398406374504</v>
      </c>
      <c r="G70">
        <v>131.214</v>
      </c>
      <c r="H70">
        <v>130.69123505976094</v>
      </c>
      <c r="I70" s="9" t="s">
        <v>87</v>
      </c>
    </row>
    <row r="71" spans="4:9">
      <c r="D71">
        <v>68</v>
      </c>
      <c r="E71">
        <v>165.245</v>
      </c>
      <c r="F71" s="3">
        <v>164.5866533864542</v>
      </c>
      <c r="G71">
        <v>147.12200000000001</v>
      </c>
      <c r="H71">
        <v>146.53585657370519</v>
      </c>
      <c r="I71" s="9" t="s">
        <v>87</v>
      </c>
    </row>
    <row r="72" spans="4:9">
      <c r="D72">
        <v>69</v>
      </c>
      <c r="E72">
        <v>196.471</v>
      </c>
      <c r="F72" s="3">
        <v>195.6882470119522</v>
      </c>
      <c r="G72">
        <v>122.413</v>
      </c>
      <c r="H72">
        <v>121.92529880478088</v>
      </c>
      <c r="I72" s="9" t="s">
        <v>87</v>
      </c>
    </row>
    <row r="73" spans="4:9">
      <c r="D73">
        <v>70</v>
      </c>
      <c r="E73">
        <v>160.381</v>
      </c>
      <c r="F73" s="3">
        <v>159.74203187250995</v>
      </c>
      <c r="G73">
        <v>99.045000000000002</v>
      </c>
      <c r="H73">
        <v>98.650398406374507</v>
      </c>
      <c r="I73" s="9" t="s">
        <v>87</v>
      </c>
    </row>
    <row r="74" spans="4:9">
      <c r="D74">
        <v>71</v>
      </c>
      <c r="E74">
        <v>118.87</v>
      </c>
      <c r="F74" s="3">
        <v>118.39641434262948</v>
      </c>
      <c r="G74">
        <v>90.05</v>
      </c>
      <c r="H74">
        <v>89.691235059760956</v>
      </c>
      <c r="I74" s="9" t="s">
        <v>87</v>
      </c>
    </row>
    <row r="75" spans="4:9">
      <c r="D75">
        <v>72</v>
      </c>
      <c r="E75">
        <v>218.708</v>
      </c>
      <c r="F75" s="3">
        <v>217.83665338645417</v>
      </c>
      <c r="G75">
        <v>113.64400000000001</v>
      </c>
      <c r="H75">
        <v>113.19123505976096</v>
      </c>
      <c r="I75" s="9" t="s">
        <v>87</v>
      </c>
    </row>
    <row r="76" spans="4:9">
      <c r="D76">
        <v>73</v>
      </c>
      <c r="E76">
        <v>182.36699999999999</v>
      </c>
      <c r="F76" s="3">
        <v>181.64043824701196</v>
      </c>
      <c r="G76">
        <v>177.16200000000001</v>
      </c>
      <c r="H76">
        <v>176.45617529880479</v>
      </c>
      <c r="I76" s="9" t="s">
        <v>87</v>
      </c>
    </row>
    <row r="77" spans="4:9">
      <c r="D77">
        <v>74</v>
      </c>
      <c r="E77">
        <v>90.275000000000006</v>
      </c>
      <c r="F77" s="3">
        <v>89.915338645418331</v>
      </c>
      <c r="G77">
        <v>57.445</v>
      </c>
      <c r="H77">
        <v>57.216135458167329</v>
      </c>
      <c r="I77" s="9" t="s">
        <v>87</v>
      </c>
    </row>
    <row r="78" spans="4:9">
      <c r="D78">
        <v>75</v>
      </c>
      <c r="E78">
        <v>115.005</v>
      </c>
      <c r="F78" s="3">
        <v>114.54681274900398</v>
      </c>
      <c r="G78">
        <v>114.89</v>
      </c>
      <c r="H78">
        <v>114.43227091633466</v>
      </c>
      <c r="I78" s="9" t="s">
        <v>87</v>
      </c>
    </row>
    <row r="79" spans="4:9">
      <c r="D79">
        <v>76</v>
      </c>
      <c r="E79">
        <v>117.65600000000001</v>
      </c>
      <c r="F79" s="3">
        <v>117.18725099601595</v>
      </c>
      <c r="G79">
        <v>76.320999999999998</v>
      </c>
      <c r="H79">
        <v>76.016932270916328</v>
      </c>
      <c r="I79" s="9" t="s">
        <v>87</v>
      </c>
    </row>
    <row r="80" spans="4:9">
      <c r="D80">
        <v>77</v>
      </c>
      <c r="E80">
        <v>151.90799999999999</v>
      </c>
      <c r="F80" s="3">
        <v>151.30278884462149</v>
      </c>
      <c r="G80">
        <v>143.56200000000001</v>
      </c>
      <c r="H80">
        <v>142.99003984063745</v>
      </c>
      <c r="I80" s="9" t="s">
        <v>87</v>
      </c>
    </row>
    <row r="81" spans="4:9">
      <c r="D81">
        <v>78</v>
      </c>
      <c r="E81">
        <v>114.23699999999999</v>
      </c>
      <c r="F81" s="3">
        <v>113.78187250996015</v>
      </c>
      <c r="G81">
        <v>56.920999999999999</v>
      </c>
      <c r="H81">
        <v>56.694223107569719</v>
      </c>
      <c r="I81" s="9" t="s">
        <v>87</v>
      </c>
    </row>
    <row r="82" spans="4:9">
      <c r="D82">
        <v>79</v>
      </c>
      <c r="E82">
        <v>597.03</v>
      </c>
      <c r="F82" s="3">
        <v>594.65139442231077</v>
      </c>
      <c r="G82">
        <v>582.19299999999998</v>
      </c>
      <c r="H82">
        <v>579.87350597609566</v>
      </c>
      <c r="I82" s="9" t="s">
        <v>87</v>
      </c>
    </row>
    <row r="83" spans="4:9">
      <c r="D83">
        <v>80</v>
      </c>
      <c r="E83">
        <v>138.13</v>
      </c>
      <c r="F83" s="3">
        <v>137.57968127490039</v>
      </c>
      <c r="G83">
        <v>108.167</v>
      </c>
      <c r="H83">
        <v>107.73605577689243</v>
      </c>
      <c r="I83" s="9" t="s">
        <v>87</v>
      </c>
    </row>
    <row r="84" spans="4:9">
      <c r="D84">
        <v>81</v>
      </c>
      <c r="E84">
        <v>178.42099999999999</v>
      </c>
      <c r="F84" s="3">
        <v>177.7101593625498</v>
      </c>
      <c r="G84">
        <v>150.47900000000001</v>
      </c>
      <c r="H84">
        <v>149.87948207171317</v>
      </c>
      <c r="I84" s="9" t="s">
        <v>87</v>
      </c>
    </row>
    <row r="85" spans="4:9">
      <c r="D85">
        <v>82</v>
      </c>
      <c r="E85">
        <v>109.49</v>
      </c>
      <c r="F85" s="3">
        <v>109.05378486055777</v>
      </c>
      <c r="G85">
        <v>74.126000000000005</v>
      </c>
      <c r="H85">
        <v>73.830677290836661</v>
      </c>
      <c r="I85" s="9" t="s">
        <v>87</v>
      </c>
    </row>
    <row r="86" spans="4:9">
      <c r="D86">
        <v>83</v>
      </c>
      <c r="E86">
        <v>417.01100000000002</v>
      </c>
      <c r="F86" s="3">
        <v>415.34960159362555</v>
      </c>
      <c r="G86">
        <v>414</v>
      </c>
      <c r="H86">
        <v>412.35059760956176</v>
      </c>
      <c r="I86" s="9" t="s">
        <v>83</v>
      </c>
    </row>
    <row r="87" spans="4:9">
      <c r="D87">
        <v>84</v>
      </c>
      <c r="E87">
        <v>243.75800000000001</v>
      </c>
      <c r="F87" s="3">
        <v>242.78685258964146</v>
      </c>
      <c r="G87">
        <v>186.869</v>
      </c>
      <c r="H87">
        <v>186.12450199203187</v>
      </c>
      <c r="I87" s="9" t="s">
        <v>87</v>
      </c>
    </row>
    <row r="88" spans="4:9">
      <c r="D88">
        <v>85</v>
      </c>
      <c r="E88">
        <v>158.31899999999999</v>
      </c>
      <c r="F88" s="3">
        <v>157.68824701195217</v>
      </c>
      <c r="G88">
        <v>94.153999999999996</v>
      </c>
      <c r="H88">
        <v>93.778884462151396</v>
      </c>
      <c r="I88" s="9" t="s">
        <v>87</v>
      </c>
    </row>
    <row r="89" spans="4:9">
      <c r="D89">
        <v>86</v>
      </c>
      <c r="E89">
        <v>126.60599999999999</v>
      </c>
      <c r="F89" s="3">
        <v>126.101593625498</v>
      </c>
      <c r="G89">
        <v>111.364</v>
      </c>
      <c r="H89">
        <v>110.92031872509961</v>
      </c>
      <c r="I89" s="9" t="s">
        <v>87</v>
      </c>
    </row>
    <row r="90" spans="4:9">
      <c r="D90">
        <v>87</v>
      </c>
      <c r="E90">
        <v>102.616</v>
      </c>
      <c r="F90" s="3">
        <v>102.20717131474103</v>
      </c>
      <c r="G90">
        <v>81.608999999999995</v>
      </c>
      <c r="H90">
        <v>81.283864541832671</v>
      </c>
      <c r="I90" s="9" t="s">
        <v>87</v>
      </c>
    </row>
    <row r="91" spans="4:9">
      <c r="D91">
        <v>88</v>
      </c>
      <c r="E91">
        <v>174.64500000000001</v>
      </c>
      <c r="F91" s="3">
        <v>173.94920318725102</v>
      </c>
      <c r="G91">
        <v>162.11099999999999</v>
      </c>
      <c r="H91">
        <v>161.46513944223108</v>
      </c>
      <c r="I91" s="9" t="s">
        <v>87</v>
      </c>
    </row>
    <row r="92" spans="4:9">
      <c r="D92">
        <v>89</v>
      </c>
      <c r="E92">
        <v>225.559</v>
      </c>
      <c r="F92" s="3">
        <v>224.66035856573706</v>
      </c>
      <c r="G92">
        <v>115.29600000000001</v>
      </c>
      <c r="H92">
        <v>114.83665338645419</v>
      </c>
      <c r="I92" s="9" t="s">
        <v>87</v>
      </c>
    </row>
    <row r="93" spans="4:9">
      <c r="D93">
        <v>90</v>
      </c>
      <c r="E93">
        <v>163.02500000000001</v>
      </c>
      <c r="F93" s="3">
        <v>162.37549800796813</v>
      </c>
      <c r="G93">
        <v>141.03200000000001</v>
      </c>
      <c r="H93">
        <v>140.47011952191235</v>
      </c>
      <c r="I93" s="9" t="s">
        <v>87</v>
      </c>
    </row>
    <row r="94" spans="4:9">
      <c r="D94">
        <v>91</v>
      </c>
      <c r="E94">
        <v>207.02199999999999</v>
      </c>
      <c r="F94" s="3">
        <v>206.19721115537848</v>
      </c>
      <c r="G94">
        <v>120.03700000000001</v>
      </c>
      <c r="H94">
        <v>119.55876494023904</v>
      </c>
      <c r="I94" s="9" t="s">
        <v>87</v>
      </c>
    </row>
    <row r="95" spans="4:9">
      <c r="D95">
        <v>92</v>
      </c>
      <c r="E95">
        <v>165.327</v>
      </c>
      <c r="F95" s="3">
        <v>164.6683266932271</v>
      </c>
      <c r="G95">
        <v>137.67400000000001</v>
      </c>
      <c r="H95">
        <v>137.12549800796813</v>
      </c>
      <c r="I95" s="9" t="s">
        <v>87</v>
      </c>
    </row>
    <row r="96" spans="4:9">
      <c r="D96">
        <v>93</v>
      </c>
      <c r="E96">
        <v>112.61</v>
      </c>
      <c r="F96" s="3">
        <v>112.16135458167331</v>
      </c>
      <c r="G96">
        <v>61.847000000000001</v>
      </c>
      <c r="H96">
        <v>61.600597609561753</v>
      </c>
      <c r="I96" s="9" t="s">
        <v>87</v>
      </c>
    </row>
    <row r="97" spans="4:9">
      <c r="D97">
        <v>94</v>
      </c>
      <c r="E97">
        <v>132.03399999999999</v>
      </c>
      <c r="F97" s="3">
        <v>131.50796812749005</v>
      </c>
      <c r="G97">
        <v>125.929</v>
      </c>
      <c r="H97">
        <v>125.42729083665338</v>
      </c>
      <c r="I97" s="9" t="s">
        <v>87</v>
      </c>
    </row>
    <row r="98" spans="4:9">
      <c r="D98">
        <v>95</v>
      </c>
      <c r="E98">
        <v>114.355</v>
      </c>
      <c r="F98" s="3">
        <v>113.89940239043825</v>
      </c>
      <c r="G98">
        <v>84</v>
      </c>
      <c r="H98">
        <v>83.665338645418331</v>
      </c>
      <c r="I98" s="9" t="s">
        <v>87</v>
      </c>
    </row>
    <row r="99" spans="4:9">
      <c r="D99">
        <v>96</v>
      </c>
      <c r="E99">
        <v>219.02099999999999</v>
      </c>
      <c r="F99" s="3">
        <v>218.14840637450197</v>
      </c>
      <c r="G99">
        <v>195.023</v>
      </c>
      <c r="H99">
        <v>194.24601593625496</v>
      </c>
      <c r="I99" s="9" t="s">
        <v>87</v>
      </c>
    </row>
    <row r="100" spans="4:9">
      <c r="D100">
        <v>97</v>
      </c>
      <c r="E100">
        <v>117.154</v>
      </c>
      <c r="F100" s="3">
        <v>116.68725099601593</v>
      </c>
      <c r="G100">
        <v>57.314999999999998</v>
      </c>
      <c r="H100">
        <v>57.086653386454181</v>
      </c>
      <c r="I100" s="9" t="s">
        <v>87</v>
      </c>
    </row>
    <row r="101" spans="4:9">
      <c r="D101">
        <v>98</v>
      </c>
      <c r="E101">
        <v>222.02</v>
      </c>
      <c r="F101" s="3">
        <v>221.13545816733068</v>
      </c>
      <c r="G101">
        <v>174</v>
      </c>
      <c r="H101">
        <v>173.30677290836653</v>
      </c>
      <c r="I101" s="9" t="s">
        <v>87</v>
      </c>
    </row>
    <row r="102" spans="4:9">
      <c r="D102">
        <v>99</v>
      </c>
      <c r="E102">
        <v>126.57</v>
      </c>
      <c r="F102" s="3">
        <v>126.06573705179282</v>
      </c>
      <c r="G102">
        <v>126.321</v>
      </c>
      <c r="H102">
        <v>125.81772908366534</v>
      </c>
      <c r="I102" s="9" t="s">
        <v>87</v>
      </c>
    </row>
    <row r="103" spans="4:9">
      <c r="D103">
        <v>100</v>
      </c>
      <c r="E103">
        <v>123</v>
      </c>
      <c r="F103" s="3">
        <v>122.50996015936255</v>
      </c>
      <c r="G103">
        <v>93.192999999999998</v>
      </c>
      <c r="H103">
        <v>92.821713147410364</v>
      </c>
      <c r="I103" s="9" t="s">
        <v>87</v>
      </c>
    </row>
    <row r="104" spans="4:9">
      <c r="D104">
        <v>101</v>
      </c>
      <c r="E104">
        <v>162.44399999999999</v>
      </c>
      <c r="F104" s="3">
        <v>161.79681274900398</v>
      </c>
      <c r="G104">
        <v>96.046999999999997</v>
      </c>
      <c r="H104">
        <v>95.664342629482064</v>
      </c>
      <c r="I104" s="9" t="s">
        <v>87</v>
      </c>
    </row>
    <row r="105" spans="4:9">
      <c r="D105">
        <v>102</v>
      </c>
      <c r="E105">
        <v>141.22300000000001</v>
      </c>
      <c r="F105" s="3">
        <v>140.66035856573706</v>
      </c>
      <c r="G105">
        <v>102.396</v>
      </c>
      <c r="H105">
        <v>101.98804780876495</v>
      </c>
      <c r="I105" s="9" t="s">
        <v>87</v>
      </c>
    </row>
    <row r="106" spans="4:9">
      <c r="D106">
        <v>103</v>
      </c>
      <c r="E106">
        <v>156.029</v>
      </c>
      <c r="F106" s="3">
        <v>155.40737051792829</v>
      </c>
      <c r="G106">
        <v>135.13300000000001</v>
      </c>
      <c r="H106">
        <v>134.59462151394425</v>
      </c>
      <c r="I106" s="9" t="s">
        <v>87</v>
      </c>
    </row>
    <row r="107" spans="4:9">
      <c r="D107">
        <v>104</v>
      </c>
      <c r="E107">
        <v>171.10499999999999</v>
      </c>
      <c r="F107" s="3">
        <v>170.42330677290835</v>
      </c>
      <c r="G107">
        <v>138.29300000000001</v>
      </c>
      <c r="H107">
        <v>137.74203187250995</v>
      </c>
      <c r="I107" s="9" t="s">
        <v>87</v>
      </c>
    </row>
    <row r="108" spans="4:9">
      <c r="D108">
        <v>105</v>
      </c>
      <c r="E108">
        <v>129</v>
      </c>
      <c r="F108" s="3">
        <v>128.48605577689244</v>
      </c>
      <c r="G108">
        <v>99</v>
      </c>
      <c r="H108">
        <v>98.605577689243034</v>
      </c>
      <c r="I108" s="9" t="s">
        <v>87</v>
      </c>
    </row>
    <row r="109" spans="4:9">
      <c r="D109">
        <v>106</v>
      </c>
      <c r="E109">
        <v>264.27300000000002</v>
      </c>
      <c r="F109" s="3">
        <v>263.22011952191235</v>
      </c>
      <c r="G109">
        <v>84.054000000000002</v>
      </c>
      <c r="H109">
        <v>83.7191235059761</v>
      </c>
      <c r="I109" s="9" t="s">
        <v>87</v>
      </c>
    </row>
    <row r="110" spans="4:9">
      <c r="D110">
        <v>107</v>
      </c>
      <c r="E110">
        <v>147.09200000000001</v>
      </c>
      <c r="F110" s="3">
        <v>146.50597609561754</v>
      </c>
      <c r="G110">
        <v>114.355</v>
      </c>
      <c r="H110">
        <v>113.89940239043825</v>
      </c>
      <c r="I110" s="9" t="s">
        <v>87</v>
      </c>
    </row>
    <row r="111" spans="4:9">
      <c r="D111">
        <v>108</v>
      </c>
      <c r="E111">
        <v>205.34100000000001</v>
      </c>
      <c r="F111" s="3">
        <v>204.52290836653387</v>
      </c>
      <c r="G111">
        <v>121.565</v>
      </c>
      <c r="H111">
        <v>121.08067729083665</v>
      </c>
      <c r="I111" s="9" t="s">
        <v>87</v>
      </c>
    </row>
    <row r="112" spans="4:9">
      <c r="D112">
        <v>109</v>
      </c>
      <c r="E112">
        <v>261.15499999999997</v>
      </c>
      <c r="F112" s="3">
        <v>260.11454183266932</v>
      </c>
      <c r="G112">
        <v>201.02199999999999</v>
      </c>
      <c r="H112">
        <v>200.22111553784859</v>
      </c>
      <c r="I112" s="9" t="s">
        <v>87</v>
      </c>
    </row>
    <row r="113" spans="4:9">
      <c r="D113">
        <v>110</v>
      </c>
      <c r="E113">
        <v>82.376999999999995</v>
      </c>
      <c r="F113" s="3">
        <v>82.048804780876495</v>
      </c>
      <c r="G113">
        <v>75.06</v>
      </c>
      <c r="H113">
        <v>74.760956175298801</v>
      </c>
      <c r="I113" s="9" t="s">
        <v>87</v>
      </c>
    </row>
    <row r="114" spans="4:9">
      <c r="D114">
        <v>111</v>
      </c>
      <c r="E114">
        <v>129.035</v>
      </c>
      <c r="F114" s="3">
        <v>128.52091633466136</v>
      </c>
      <c r="G114">
        <v>120.15</v>
      </c>
      <c r="H114">
        <v>119.67131474103586</v>
      </c>
      <c r="I114" s="9" t="s">
        <v>87</v>
      </c>
    </row>
    <row r="115" spans="4:9">
      <c r="D115">
        <v>112</v>
      </c>
      <c r="E115">
        <v>183.393</v>
      </c>
      <c r="F115" s="3">
        <v>182.66235059760956</v>
      </c>
      <c r="G115">
        <v>120</v>
      </c>
      <c r="H115">
        <v>119.5219123505976</v>
      </c>
      <c r="I115" s="9" t="s">
        <v>87</v>
      </c>
    </row>
    <row r="116" spans="4:9">
      <c r="D116">
        <v>113</v>
      </c>
      <c r="E116">
        <v>183</v>
      </c>
      <c r="F116" s="3">
        <v>182.27091633466136</v>
      </c>
      <c r="G116">
        <v>153.11799999999999</v>
      </c>
      <c r="H116">
        <v>152.50796812749005</v>
      </c>
      <c r="I116" s="9" t="s">
        <v>87</v>
      </c>
    </row>
    <row r="117" spans="4:9">
      <c r="D117">
        <v>114</v>
      </c>
      <c r="E117">
        <v>111.364</v>
      </c>
      <c r="F117" s="3">
        <v>110.92031872509961</v>
      </c>
      <c r="G117">
        <v>79.429000000000002</v>
      </c>
      <c r="H117">
        <v>79.112549800796813</v>
      </c>
      <c r="I117" s="9" t="s">
        <v>87</v>
      </c>
    </row>
    <row r="118" spans="4:9">
      <c r="D118">
        <v>115</v>
      </c>
      <c r="E118">
        <v>240.07499999999999</v>
      </c>
      <c r="F118" s="3">
        <v>239.11852589641433</v>
      </c>
      <c r="G118">
        <v>147.489</v>
      </c>
      <c r="H118">
        <v>146.90139442231077</v>
      </c>
      <c r="I118" s="9" t="s">
        <v>87</v>
      </c>
    </row>
    <row r="119" spans="4:9">
      <c r="D119">
        <v>116</v>
      </c>
      <c r="E119">
        <v>189.85499999999999</v>
      </c>
      <c r="F119" s="3">
        <v>189.09860557768923</v>
      </c>
      <c r="G119">
        <v>188.404</v>
      </c>
      <c r="H119">
        <v>187.65338645418328</v>
      </c>
      <c r="I119" s="9" t="s">
        <v>87</v>
      </c>
    </row>
    <row r="120" spans="4:9">
      <c r="D120">
        <v>117</v>
      </c>
      <c r="E120">
        <v>95.293999999999997</v>
      </c>
      <c r="F120" s="3">
        <v>94.914342629482064</v>
      </c>
      <c r="G120">
        <v>93.692999999999998</v>
      </c>
      <c r="H120">
        <v>93.319721115537845</v>
      </c>
      <c r="I120" s="9" t="s">
        <v>87</v>
      </c>
    </row>
    <row r="121" spans="4:9">
      <c r="D121">
        <v>118</v>
      </c>
      <c r="E121">
        <v>191.672</v>
      </c>
      <c r="F121" s="3">
        <v>190.90836653386455</v>
      </c>
      <c r="G121">
        <v>174.155</v>
      </c>
      <c r="H121">
        <v>173.46115537848607</v>
      </c>
      <c r="I121" s="9" t="s">
        <v>87</v>
      </c>
    </row>
    <row r="122" spans="4:9">
      <c r="D122">
        <v>119</v>
      </c>
      <c r="E122">
        <v>187.18199999999999</v>
      </c>
      <c r="F122" s="3">
        <v>186.43625498007967</v>
      </c>
      <c r="G122">
        <v>140.52000000000001</v>
      </c>
      <c r="H122">
        <v>139.9601593625498</v>
      </c>
      <c r="I122" s="9" t="s">
        <v>87</v>
      </c>
    </row>
    <row r="123" spans="4:9">
      <c r="D123">
        <v>120</v>
      </c>
      <c r="E123">
        <v>187.18199999999999</v>
      </c>
      <c r="F123" s="3">
        <v>186.43625498007967</v>
      </c>
      <c r="G123">
        <v>148.09800000000001</v>
      </c>
      <c r="H123">
        <v>147.50796812749005</v>
      </c>
      <c r="I123" s="9" t="s">
        <v>87</v>
      </c>
    </row>
    <row r="124" spans="4:9">
      <c r="D124">
        <v>121</v>
      </c>
      <c r="E124">
        <v>183.21100000000001</v>
      </c>
      <c r="F124" s="3">
        <v>182.48107569721117</v>
      </c>
      <c r="G124">
        <v>172.67599999999999</v>
      </c>
      <c r="H124">
        <v>171.98804780876492</v>
      </c>
      <c r="I124" s="9" t="s">
        <v>87</v>
      </c>
    </row>
    <row r="125" spans="4:9">
      <c r="D125">
        <v>122</v>
      </c>
      <c r="E125">
        <v>183.393</v>
      </c>
      <c r="F125" s="3">
        <v>182.66235059760956</v>
      </c>
      <c r="G125">
        <v>173.18799999999999</v>
      </c>
      <c r="H125">
        <v>172.49800796812747</v>
      </c>
      <c r="I125" s="9" t="s">
        <v>87</v>
      </c>
    </row>
    <row r="126" spans="4:9">
      <c r="D126">
        <v>123</v>
      </c>
      <c r="E126">
        <v>144</v>
      </c>
      <c r="F126" s="3">
        <v>143.42629482071715</v>
      </c>
      <c r="G126">
        <v>84.852999999999994</v>
      </c>
      <c r="H126">
        <v>84.514940239043824</v>
      </c>
      <c r="I126" s="9" t="s">
        <v>87</v>
      </c>
    </row>
    <row r="127" spans="4:9">
      <c r="D127">
        <v>124</v>
      </c>
      <c r="E127">
        <v>183.88300000000001</v>
      </c>
      <c r="F127" s="3">
        <v>183.15039840637451</v>
      </c>
      <c r="G127">
        <v>136.029</v>
      </c>
      <c r="H127">
        <v>135.48705179282868</v>
      </c>
      <c r="I127" s="9" t="s">
        <v>87</v>
      </c>
    </row>
    <row r="128" spans="4:9">
      <c r="D128">
        <v>125</v>
      </c>
      <c r="E128">
        <v>177.102</v>
      </c>
      <c r="F128" s="3">
        <v>176.3964143426295</v>
      </c>
      <c r="G128">
        <v>120.15</v>
      </c>
      <c r="H128">
        <v>119.67131474103586</v>
      </c>
      <c r="I128" s="9" t="s">
        <v>87</v>
      </c>
    </row>
    <row r="129" spans="4:9">
      <c r="D129">
        <v>126</v>
      </c>
      <c r="E129">
        <v>95.858999999999995</v>
      </c>
      <c r="F129" s="3">
        <v>95.477091633466131</v>
      </c>
      <c r="G129">
        <v>63.070999999999998</v>
      </c>
      <c r="H129">
        <v>62.819721115537845</v>
      </c>
      <c r="I129" s="9" t="s">
        <v>87</v>
      </c>
    </row>
    <row r="130" spans="4:9">
      <c r="D130">
        <v>127</v>
      </c>
      <c r="E130">
        <v>119.54900000000001</v>
      </c>
      <c r="F130" s="3">
        <v>119.07270916334662</v>
      </c>
      <c r="G130">
        <v>83.57</v>
      </c>
      <c r="H130">
        <v>83.23705179282868</v>
      </c>
      <c r="I130" s="9" t="s">
        <v>87</v>
      </c>
    </row>
    <row r="131" spans="4:9">
      <c r="D131">
        <v>128</v>
      </c>
      <c r="E131">
        <v>119.474</v>
      </c>
      <c r="F131" s="3">
        <v>118.9980079681275</v>
      </c>
      <c r="G131">
        <v>83.355000000000004</v>
      </c>
      <c r="H131">
        <v>83.022908366533869</v>
      </c>
      <c r="I131" s="9" t="s">
        <v>87</v>
      </c>
    </row>
    <row r="132" spans="4:9">
      <c r="D132">
        <v>129</v>
      </c>
      <c r="E132">
        <v>168.90799999999999</v>
      </c>
      <c r="F132" s="3">
        <v>168.23505976095618</v>
      </c>
      <c r="G132">
        <v>90.25</v>
      </c>
      <c r="H132">
        <v>89.890438247011957</v>
      </c>
      <c r="I132" s="9" t="s">
        <v>87</v>
      </c>
    </row>
    <row r="133" spans="4:9">
      <c r="D133">
        <v>130</v>
      </c>
      <c r="E133">
        <v>110.63500000000001</v>
      </c>
      <c r="F133" s="3">
        <v>110.19422310756973</v>
      </c>
      <c r="G133">
        <v>87</v>
      </c>
      <c r="H133">
        <v>86.653386454183263</v>
      </c>
      <c r="I133" s="9" t="s">
        <v>87</v>
      </c>
    </row>
    <row r="134" spans="4:9">
      <c r="D134">
        <v>131</v>
      </c>
      <c r="E134">
        <v>135</v>
      </c>
      <c r="F134" s="3">
        <v>134.46215139442231</v>
      </c>
      <c r="G134">
        <v>129.41800000000001</v>
      </c>
      <c r="H134">
        <v>128.90239043824701</v>
      </c>
      <c r="I134" s="9" t="s">
        <v>87</v>
      </c>
    </row>
    <row r="135" spans="4:9">
      <c r="D135">
        <v>132</v>
      </c>
      <c r="E135">
        <v>192.21100000000001</v>
      </c>
      <c r="F135" s="3">
        <v>191.44521912350598</v>
      </c>
      <c r="G135">
        <v>96.606999999999999</v>
      </c>
      <c r="H135">
        <v>96.222111553784856</v>
      </c>
      <c r="I135" s="9" t="s">
        <v>87</v>
      </c>
    </row>
    <row r="136" spans="4:9">
      <c r="D136">
        <v>133</v>
      </c>
      <c r="E136">
        <v>180.1</v>
      </c>
      <c r="F136" s="3">
        <v>179.38247011952191</v>
      </c>
      <c r="G136">
        <v>171</v>
      </c>
      <c r="H136">
        <v>170.31872509960161</v>
      </c>
      <c r="I136" s="9" t="s">
        <v>87</v>
      </c>
    </row>
    <row r="137" spans="4:9">
      <c r="D137">
        <v>134</v>
      </c>
      <c r="E137">
        <v>172.363</v>
      </c>
      <c r="F137" s="3">
        <v>171.67629482071712</v>
      </c>
      <c r="G137">
        <v>89.094999999999999</v>
      </c>
      <c r="H137">
        <v>88.740039840637451</v>
      </c>
      <c r="I137" s="9" t="s">
        <v>87</v>
      </c>
    </row>
    <row r="138" spans="4:9">
      <c r="D138">
        <v>135</v>
      </c>
      <c r="E138">
        <v>123.03700000000001</v>
      </c>
      <c r="F138" s="3">
        <v>122.54681274900399</v>
      </c>
      <c r="G138">
        <v>105.68300000000001</v>
      </c>
      <c r="H138">
        <v>105.26195219123507</v>
      </c>
      <c r="I138" s="9" t="s">
        <v>87</v>
      </c>
    </row>
    <row r="139" spans="4:9">
      <c r="D139">
        <v>136</v>
      </c>
      <c r="E139">
        <v>168</v>
      </c>
      <c r="F139" s="3">
        <v>167.33067729083666</v>
      </c>
      <c r="G139">
        <v>126</v>
      </c>
      <c r="H139">
        <v>125.4980079681275</v>
      </c>
      <c r="I139" s="9" t="s">
        <v>87</v>
      </c>
    </row>
    <row r="140" spans="4:9">
      <c r="D140">
        <v>137</v>
      </c>
      <c r="E140">
        <v>163.768</v>
      </c>
      <c r="F140" s="3">
        <v>163.11553784860558</v>
      </c>
      <c r="G140">
        <v>77.885000000000005</v>
      </c>
      <c r="H140">
        <v>77.574701195219134</v>
      </c>
      <c r="I140" s="9" t="s">
        <v>87</v>
      </c>
    </row>
    <row r="141" spans="4:9">
      <c r="D141">
        <v>138</v>
      </c>
      <c r="E141">
        <v>118.33799999999999</v>
      </c>
      <c r="F141" s="3">
        <v>117.86653386454182</v>
      </c>
      <c r="G141">
        <v>104.657</v>
      </c>
      <c r="H141">
        <v>104.24003984063745</v>
      </c>
      <c r="I141" s="9" t="s">
        <v>87</v>
      </c>
    </row>
    <row r="142" spans="4:9">
      <c r="D142">
        <v>139</v>
      </c>
      <c r="E142">
        <v>120.48699999999999</v>
      </c>
      <c r="F142" s="3">
        <v>120.00697211155378</v>
      </c>
      <c r="G142">
        <v>97.165000000000006</v>
      </c>
      <c r="H142">
        <v>96.777888446215144</v>
      </c>
      <c r="I142" s="9" t="s">
        <v>87</v>
      </c>
    </row>
    <row r="143" spans="4:9">
      <c r="D143">
        <v>140</v>
      </c>
      <c r="E143">
        <v>173.11799999999999</v>
      </c>
      <c r="F143" s="3">
        <v>172.42828685258965</v>
      </c>
      <c r="G143">
        <v>167.19399999999999</v>
      </c>
      <c r="H143">
        <v>166.52788844621512</v>
      </c>
      <c r="I143" s="9" t="s">
        <v>87</v>
      </c>
    </row>
    <row r="144" spans="4:9">
      <c r="D144">
        <v>141</v>
      </c>
      <c r="E144">
        <v>123.438</v>
      </c>
      <c r="F144" s="3">
        <v>122.94621513944223</v>
      </c>
      <c r="G144">
        <v>90.2</v>
      </c>
      <c r="H144">
        <v>89.84063745019921</v>
      </c>
      <c r="I144" s="9" t="s">
        <v>87</v>
      </c>
    </row>
    <row r="145" spans="4:9">
      <c r="D145">
        <v>142</v>
      </c>
      <c r="E145">
        <v>218.40299999999999</v>
      </c>
      <c r="F145" s="3">
        <v>217.53286852589642</v>
      </c>
      <c r="G145">
        <v>198.29499999999999</v>
      </c>
      <c r="H145">
        <v>197.50498007968127</v>
      </c>
      <c r="I145" s="9" t="s">
        <v>87</v>
      </c>
    </row>
    <row r="146" spans="4:9">
      <c r="D146">
        <v>143</v>
      </c>
      <c r="E146">
        <v>120</v>
      </c>
      <c r="F146" s="3">
        <v>119.5219123505976</v>
      </c>
      <c r="G146">
        <v>102.044</v>
      </c>
      <c r="H146">
        <v>101.63745019920319</v>
      </c>
      <c r="I146" s="9" t="s">
        <v>87</v>
      </c>
    </row>
    <row r="147" spans="4:9">
      <c r="D147">
        <v>144</v>
      </c>
      <c r="E147">
        <v>154.28899999999999</v>
      </c>
      <c r="F147" s="3">
        <v>153.67430278884461</v>
      </c>
      <c r="G147">
        <v>111.364</v>
      </c>
      <c r="H147">
        <v>110.92031872509961</v>
      </c>
      <c r="I147" s="9" t="s">
        <v>87</v>
      </c>
    </row>
    <row r="148" spans="4:9">
      <c r="D148">
        <v>145</v>
      </c>
      <c r="E148">
        <v>181.39500000000001</v>
      </c>
      <c r="F148" s="3">
        <v>180.67231075697211</v>
      </c>
      <c r="G148">
        <v>133.79499999999999</v>
      </c>
      <c r="H148">
        <v>133.26195219123505</v>
      </c>
      <c r="I148" s="9" t="s">
        <v>87</v>
      </c>
    </row>
    <row r="149" spans="4:9">
      <c r="D149">
        <v>146</v>
      </c>
      <c r="E149">
        <v>465.03899999999999</v>
      </c>
      <c r="F149" s="3">
        <v>463.1862549800797</v>
      </c>
      <c r="G149">
        <v>453</v>
      </c>
      <c r="H149">
        <v>451.19521912350598</v>
      </c>
      <c r="I149" s="9" t="s">
        <v>83</v>
      </c>
    </row>
    <row r="150" spans="4:9">
      <c r="D150">
        <v>147</v>
      </c>
      <c r="E150">
        <v>147</v>
      </c>
      <c r="F150" s="3">
        <v>146.41434262948206</v>
      </c>
      <c r="G150">
        <v>117.154</v>
      </c>
      <c r="H150">
        <v>116.68725099601593</v>
      </c>
      <c r="I150" s="9" t="s">
        <v>87</v>
      </c>
    </row>
    <row r="151" spans="4:9">
      <c r="D151">
        <v>148</v>
      </c>
      <c r="E151">
        <v>255.863</v>
      </c>
      <c r="F151" s="3">
        <v>254.84362549800798</v>
      </c>
      <c r="G151">
        <v>168.02699999999999</v>
      </c>
      <c r="H151">
        <v>167.35756972111554</v>
      </c>
      <c r="I151" s="9" t="s">
        <v>87</v>
      </c>
    </row>
    <row r="152" spans="4:9">
      <c r="D152">
        <v>149</v>
      </c>
      <c r="E152">
        <v>189.024</v>
      </c>
      <c r="F152" s="3">
        <v>188.27091633466136</v>
      </c>
      <c r="G152">
        <v>156</v>
      </c>
      <c r="H152">
        <v>155.3784860557769</v>
      </c>
      <c r="I152" s="9" t="s">
        <v>87</v>
      </c>
    </row>
    <row r="153" spans="4:9">
      <c r="D153">
        <v>150</v>
      </c>
      <c r="E153">
        <v>138</v>
      </c>
      <c r="F153" s="3">
        <v>137.45019920318725</v>
      </c>
      <c r="G153">
        <v>135.03299999999999</v>
      </c>
      <c r="H153">
        <v>134.49501992031873</v>
      </c>
      <c r="I153" s="9" t="s">
        <v>87</v>
      </c>
    </row>
    <row r="154" spans="4:9">
      <c r="E154"/>
      <c r="F154" s="3"/>
    </row>
    <row r="155" spans="4:9">
      <c r="D155" t="s">
        <v>41</v>
      </c>
      <c r="E155">
        <f t="shared" ref="E155" si="0">MEDIAN(E4:E153)</f>
        <v>163.94650000000001</v>
      </c>
      <c r="F155">
        <f>MEDIAN(F4:F153)</f>
        <v>163.2933266932271</v>
      </c>
      <c r="G155">
        <f>MEDIAN(G4:G153)</f>
        <v>120.8575</v>
      </c>
      <c r="H155">
        <f>MEDIAN(H4:H153)</f>
        <v>120.37599601593625</v>
      </c>
    </row>
    <row r="156" spans="4:9">
      <c r="D156" t="s">
        <v>39</v>
      </c>
      <c r="E156">
        <f t="shared" ref="E156" si="1">MAX(E4:E153)</f>
        <v>639.06299999999999</v>
      </c>
      <c r="F156">
        <f>MAX(F4:F153)</f>
        <v>636.5169322709163</v>
      </c>
      <c r="G156">
        <f>MAX(G4:G153)</f>
        <v>618.00699999999995</v>
      </c>
      <c r="H156">
        <f>MAX(H4:H153)</f>
        <v>615.54482071713142</v>
      </c>
    </row>
    <row r="157" spans="4:9">
      <c r="D157" t="s">
        <v>38</v>
      </c>
      <c r="E157">
        <f t="shared" ref="E157" si="2">MIN(E4:E153)</f>
        <v>82.376999999999995</v>
      </c>
      <c r="F157">
        <f>MIN(F4:F153)</f>
        <v>82.048804780876495</v>
      </c>
      <c r="G157">
        <f>MIN(G4:G153)</f>
        <v>56.920999999999999</v>
      </c>
      <c r="H157">
        <f>MIN(H4:H153)</f>
        <v>56.694223107569719</v>
      </c>
    </row>
    <row r="158" spans="4:9">
      <c r="D158" t="s">
        <v>26</v>
      </c>
      <c r="E158">
        <f t="shared" ref="E158" si="3">AVERAGE(E4:E153)</f>
        <v>177.81728666666666</v>
      </c>
      <c r="F158">
        <f>AVERAGE(F4:F153)</f>
        <v>177.1088512616202</v>
      </c>
      <c r="G158">
        <f>AVERAGE(G4:G153)</f>
        <v>139.48782666666662</v>
      </c>
      <c r="H158">
        <f>AVERAGE(H4:H153)</f>
        <v>138.93209827357239</v>
      </c>
    </row>
    <row r="159" spans="4:9">
      <c r="D159" t="s">
        <v>113</v>
      </c>
      <c r="E159">
        <f>_xlfn.STDEV.S(E4:E153)</f>
        <v>84.279735535839748</v>
      </c>
      <c r="F159">
        <f>_xlfn.STDEV.S(F4:F153)</f>
        <v>83.943959697051497</v>
      </c>
      <c r="G159">
        <f>_xlfn.STDEV.S(G4:G153)</f>
        <v>86.614288913918429</v>
      </c>
      <c r="H159">
        <f>_xlfn.STDEV.S(H4:H153)</f>
        <v>86.26921206565568</v>
      </c>
    </row>
    <row r="160" spans="4:9">
      <c r="E160"/>
      <c r="F160" s="3"/>
    </row>
    <row r="161" spans="5:6">
      <c r="E161"/>
      <c r="F161" s="3"/>
    </row>
    <row r="162" spans="5:6">
      <c r="F162" s="3"/>
    </row>
    <row r="163" spans="5:6">
      <c r="F163" s="3"/>
    </row>
    <row r="164" spans="5:6">
      <c r="E164"/>
      <c r="F164" s="3"/>
    </row>
    <row r="165" spans="5:6">
      <c r="E165"/>
      <c r="F165" s="3"/>
    </row>
    <row r="166" spans="5:6">
      <c r="E166"/>
      <c r="F166" s="3"/>
    </row>
    <row r="167" spans="5:6">
      <c r="E167"/>
      <c r="F167" s="3"/>
    </row>
    <row r="168" spans="5:6">
      <c r="E168"/>
      <c r="F168" s="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0"/>
  <sheetViews>
    <sheetView topLeftCell="A152" zoomScale="115" zoomScaleNormal="115" zoomScalePageLayoutView="115" workbookViewId="0">
      <selection activeCell="G168" sqref="G168"/>
    </sheetView>
  </sheetViews>
  <sheetFormatPr baseColWidth="10" defaultRowHeight="15"/>
  <cols>
    <col min="4" max="8" width="11" customWidth="1"/>
  </cols>
  <sheetData>
    <row r="1" spans="1:9">
      <c r="A1" s="8" t="s">
        <v>73</v>
      </c>
      <c r="D1" s="8" t="s">
        <v>178</v>
      </c>
    </row>
    <row r="2" spans="1:9">
      <c r="A2" t="s">
        <v>20</v>
      </c>
      <c r="B2" t="s">
        <v>82</v>
      </c>
    </row>
    <row r="3" spans="1:9">
      <c r="A3">
        <v>237</v>
      </c>
      <c r="B3">
        <v>250</v>
      </c>
    </row>
    <row r="4" spans="1:9" ht="30">
      <c r="A4">
        <v>1</v>
      </c>
      <c r="B4">
        <f>B3/A3</f>
        <v>1.0548523206751055</v>
      </c>
      <c r="D4" t="s">
        <v>59</v>
      </c>
      <c r="E4" s="2" t="s">
        <v>20</v>
      </c>
      <c r="F4" s="4" t="s">
        <v>21</v>
      </c>
      <c r="G4" s="2" t="s">
        <v>22</v>
      </c>
      <c r="H4" s="4" t="s">
        <v>23</v>
      </c>
      <c r="I4" t="s">
        <v>76</v>
      </c>
    </row>
    <row r="5" spans="1:9">
      <c r="D5">
        <v>1</v>
      </c>
      <c r="E5">
        <v>166</v>
      </c>
      <c r="F5">
        <f t="shared" ref="F5:F36" si="0">(E5*$B$4)</f>
        <v>175.10548523206751</v>
      </c>
      <c r="G5">
        <v>55</v>
      </c>
      <c r="H5">
        <f t="shared" ref="H5:H36" si="1">G5*$B$4</f>
        <v>58.016877637130804</v>
      </c>
      <c r="I5" t="s">
        <v>75</v>
      </c>
    </row>
    <row r="6" spans="1:9">
      <c r="D6">
        <v>2</v>
      </c>
      <c r="E6">
        <v>136</v>
      </c>
      <c r="F6">
        <f t="shared" si="0"/>
        <v>143.45991561181435</v>
      </c>
      <c r="G6">
        <v>63</v>
      </c>
      <c r="H6">
        <f t="shared" si="1"/>
        <v>66.455696202531641</v>
      </c>
      <c r="I6" t="s">
        <v>75</v>
      </c>
    </row>
    <row r="7" spans="1:9">
      <c r="D7">
        <v>3</v>
      </c>
      <c r="E7">
        <v>43</v>
      </c>
      <c r="F7">
        <f t="shared" si="0"/>
        <v>45.358649789029535</v>
      </c>
      <c r="G7">
        <v>55</v>
      </c>
      <c r="H7">
        <f t="shared" si="1"/>
        <v>58.016877637130804</v>
      </c>
      <c r="I7" t="s">
        <v>75</v>
      </c>
    </row>
    <row r="8" spans="1:9">
      <c r="D8">
        <v>4</v>
      </c>
      <c r="E8">
        <v>63</v>
      </c>
      <c r="F8">
        <f t="shared" si="0"/>
        <v>66.455696202531641</v>
      </c>
      <c r="G8">
        <v>48</v>
      </c>
      <c r="H8">
        <f t="shared" si="1"/>
        <v>50.632911392405063</v>
      </c>
      <c r="I8" t="s">
        <v>75</v>
      </c>
    </row>
    <row r="9" spans="1:9">
      <c r="D9">
        <v>5</v>
      </c>
      <c r="E9">
        <v>68</v>
      </c>
      <c r="F9">
        <f t="shared" si="0"/>
        <v>71.729957805907176</v>
      </c>
      <c r="G9">
        <v>50</v>
      </c>
      <c r="H9">
        <f t="shared" si="1"/>
        <v>52.742616033755276</v>
      </c>
      <c r="I9" t="s">
        <v>75</v>
      </c>
    </row>
    <row r="10" spans="1:9">
      <c r="D10">
        <v>6</v>
      </c>
      <c r="E10">
        <v>89</v>
      </c>
      <c r="F10">
        <f t="shared" si="0"/>
        <v>93.881856540084385</v>
      </c>
      <c r="G10">
        <v>47</v>
      </c>
      <c r="H10">
        <f t="shared" si="1"/>
        <v>49.57805907172996</v>
      </c>
      <c r="I10" t="s">
        <v>75</v>
      </c>
    </row>
    <row r="11" spans="1:9">
      <c r="D11">
        <v>7</v>
      </c>
      <c r="E11">
        <v>91</v>
      </c>
      <c r="F11">
        <f t="shared" si="0"/>
        <v>95.991561181434605</v>
      </c>
      <c r="G11">
        <v>44</v>
      </c>
      <c r="H11">
        <f t="shared" si="1"/>
        <v>46.413502109704638</v>
      </c>
      <c r="I11" t="s">
        <v>75</v>
      </c>
    </row>
    <row r="12" spans="1:9">
      <c r="D12">
        <v>8</v>
      </c>
      <c r="E12">
        <v>153</v>
      </c>
      <c r="F12">
        <f t="shared" si="0"/>
        <v>161.39240506329114</v>
      </c>
      <c r="G12">
        <v>84</v>
      </c>
      <c r="H12">
        <f t="shared" si="1"/>
        <v>88.607594936708864</v>
      </c>
      <c r="I12" t="s">
        <v>75</v>
      </c>
    </row>
    <row r="13" spans="1:9">
      <c r="D13">
        <v>9</v>
      </c>
      <c r="E13">
        <v>214</v>
      </c>
      <c r="F13">
        <f t="shared" si="0"/>
        <v>225.73839662447259</v>
      </c>
      <c r="G13">
        <v>118</v>
      </c>
      <c r="H13">
        <f t="shared" si="1"/>
        <v>124.47257383966245</v>
      </c>
      <c r="I13" t="s">
        <v>75</v>
      </c>
    </row>
    <row r="14" spans="1:9">
      <c r="D14">
        <v>10</v>
      </c>
      <c r="E14">
        <v>302</v>
      </c>
      <c r="F14">
        <f t="shared" si="0"/>
        <v>318.56540084388183</v>
      </c>
      <c r="G14">
        <v>99</v>
      </c>
      <c r="H14">
        <f t="shared" si="1"/>
        <v>104.43037974683544</v>
      </c>
      <c r="I14" t="s">
        <v>75</v>
      </c>
    </row>
    <row r="15" spans="1:9">
      <c r="D15">
        <v>11</v>
      </c>
      <c r="E15">
        <v>153</v>
      </c>
      <c r="F15">
        <f t="shared" si="0"/>
        <v>161.39240506329114</v>
      </c>
      <c r="G15">
        <v>136</v>
      </c>
      <c r="H15">
        <f t="shared" si="1"/>
        <v>143.45991561181435</v>
      </c>
      <c r="I15" t="s">
        <v>75</v>
      </c>
    </row>
    <row r="16" spans="1:9">
      <c r="D16">
        <v>12</v>
      </c>
      <c r="E16">
        <v>106</v>
      </c>
      <c r="F16">
        <f t="shared" si="0"/>
        <v>111.81434599156118</v>
      </c>
      <c r="G16">
        <v>48</v>
      </c>
      <c r="H16">
        <f t="shared" si="1"/>
        <v>50.632911392405063</v>
      </c>
      <c r="I16" t="s">
        <v>75</v>
      </c>
    </row>
    <row r="17" spans="4:9">
      <c r="D17">
        <v>13</v>
      </c>
      <c r="E17">
        <v>78</v>
      </c>
      <c r="F17">
        <f t="shared" si="0"/>
        <v>82.278481012658233</v>
      </c>
      <c r="G17">
        <v>69</v>
      </c>
      <c r="H17">
        <f t="shared" si="1"/>
        <v>72.784810126582272</v>
      </c>
      <c r="I17" t="s">
        <v>75</v>
      </c>
    </row>
    <row r="18" spans="4:9">
      <c r="D18">
        <v>14</v>
      </c>
      <c r="E18">
        <v>65</v>
      </c>
      <c r="F18">
        <f t="shared" si="0"/>
        <v>68.565400843881861</v>
      </c>
      <c r="G18">
        <v>48</v>
      </c>
      <c r="H18">
        <f t="shared" si="1"/>
        <v>50.632911392405063</v>
      </c>
      <c r="I18" t="s">
        <v>75</v>
      </c>
    </row>
    <row r="19" spans="4:9">
      <c r="D19">
        <v>15</v>
      </c>
      <c r="E19">
        <v>104</v>
      </c>
      <c r="F19">
        <f t="shared" si="0"/>
        <v>109.70464135021098</v>
      </c>
      <c r="G19">
        <v>92</v>
      </c>
      <c r="H19">
        <f t="shared" si="1"/>
        <v>97.046413502109701</v>
      </c>
      <c r="I19" t="s">
        <v>75</v>
      </c>
    </row>
    <row r="20" spans="4:9">
      <c r="D20">
        <v>16</v>
      </c>
      <c r="E20">
        <v>120</v>
      </c>
      <c r="F20">
        <f t="shared" si="0"/>
        <v>126.58227848101265</v>
      </c>
      <c r="G20">
        <v>72</v>
      </c>
      <c r="H20">
        <f t="shared" si="1"/>
        <v>75.949367088607602</v>
      </c>
      <c r="I20" t="s">
        <v>75</v>
      </c>
    </row>
    <row r="21" spans="4:9">
      <c r="D21">
        <v>17</v>
      </c>
      <c r="E21">
        <v>162</v>
      </c>
      <c r="F21">
        <f t="shared" si="0"/>
        <v>170.8860759493671</v>
      </c>
      <c r="G21">
        <v>57</v>
      </c>
      <c r="H21">
        <f t="shared" si="1"/>
        <v>60.12658227848101</v>
      </c>
      <c r="I21" t="s">
        <v>75</v>
      </c>
    </row>
    <row r="22" spans="4:9">
      <c r="D22">
        <v>18</v>
      </c>
      <c r="E22">
        <v>323</v>
      </c>
      <c r="F22">
        <f t="shared" si="0"/>
        <v>340.71729957805906</v>
      </c>
      <c r="G22">
        <v>144</v>
      </c>
      <c r="H22">
        <f t="shared" si="1"/>
        <v>151.8987341772152</v>
      </c>
      <c r="I22" t="s">
        <v>75</v>
      </c>
    </row>
    <row r="23" spans="4:9">
      <c r="D23">
        <v>19</v>
      </c>
      <c r="E23">
        <v>152</v>
      </c>
      <c r="F23">
        <f t="shared" si="0"/>
        <v>160.33755274261603</v>
      </c>
      <c r="G23">
        <v>74</v>
      </c>
      <c r="H23">
        <f t="shared" si="1"/>
        <v>78.059071729957807</v>
      </c>
      <c r="I23" t="s">
        <v>75</v>
      </c>
    </row>
    <row r="24" spans="4:9">
      <c r="D24">
        <v>20</v>
      </c>
      <c r="E24">
        <v>139</v>
      </c>
      <c r="F24">
        <f t="shared" si="0"/>
        <v>146.62447257383965</v>
      </c>
      <c r="G24">
        <v>69</v>
      </c>
      <c r="H24">
        <f t="shared" si="1"/>
        <v>72.784810126582272</v>
      </c>
      <c r="I24" t="s">
        <v>75</v>
      </c>
    </row>
    <row r="25" spans="4:9">
      <c r="D25">
        <v>21</v>
      </c>
      <c r="E25">
        <v>147</v>
      </c>
      <c r="F25">
        <f t="shared" si="0"/>
        <v>155.0632911392405</v>
      </c>
      <c r="G25">
        <v>67</v>
      </c>
      <c r="H25">
        <f t="shared" si="1"/>
        <v>70.675105485232066</v>
      </c>
      <c r="I25" t="s">
        <v>75</v>
      </c>
    </row>
    <row r="26" spans="4:9">
      <c r="D26">
        <v>22</v>
      </c>
      <c r="E26">
        <v>134</v>
      </c>
      <c r="F26">
        <f t="shared" si="0"/>
        <v>141.35021097046413</v>
      </c>
      <c r="G26">
        <v>85</v>
      </c>
      <c r="H26">
        <f t="shared" si="1"/>
        <v>89.66244725738396</v>
      </c>
      <c r="I26" t="s">
        <v>75</v>
      </c>
    </row>
    <row r="27" spans="4:9">
      <c r="D27">
        <v>23</v>
      </c>
      <c r="E27">
        <v>267</v>
      </c>
      <c r="F27">
        <f t="shared" si="0"/>
        <v>281.64556962025318</v>
      </c>
      <c r="G27">
        <v>144</v>
      </c>
      <c r="H27">
        <f t="shared" si="1"/>
        <v>151.8987341772152</v>
      </c>
      <c r="I27" t="s">
        <v>75</v>
      </c>
    </row>
    <row r="28" spans="4:9">
      <c r="D28">
        <v>24</v>
      </c>
      <c r="E28">
        <v>248</v>
      </c>
      <c r="F28">
        <f t="shared" si="0"/>
        <v>261.60337552742618</v>
      </c>
      <c r="G28">
        <v>110</v>
      </c>
      <c r="H28">
        <f t="shared" si="1"/>
        <v>116.03375527426161</v>
      </c>
      <c r="I28" t="s">
        <v>75</v>
      </c>
    </row>
    <row r="29" spans="4:9">
      <c r="D29">
        <v>25</v>
      </c>
      <c r="E29">
        <v>351</v>
      </c>
      <c r="F29">
        <f t="shared" si="0"/>
        <v>370.25316455696202</v>
      </c>
      <c r="G29">
        <v>129</v>
      </c>
      <c r="H29">
        <f t="shared" si="1"/>
        <v>136.07594936708861</v>
      </c>
      <c r="I29" t="s">
        <v>75</v>
      </c>
    </row>
    <row r="30" spans="4:9">
      <c r="D30">
        <v>26</v>
      </c>
      <c r="E30">
        <v>154</v>
      </c>
      <c r="F30">
        <f t="shared" si="0"/>
        <v>162.44725738396625</v>
      </c>
      <c r="G30">
        <v>125</v>
      </c>
      <c r="H30">
        <f t="shared" si="1"/>
        <v>131.85654008438817</v>
      </c>
      <c r="I30" t="s">
        <v>75</v>
      </c>
    </row>
    <row r="31" spans="4:9">
      <c r="D31">
        <v>27</v>
      </c>
      <c r="E31">
        <v>106</v>
      </c>
      <c r="F31">
        <f t="shared" si="0"/>
        <v>111.81434599156118</v>
      </c>
      <c r="G31">
        <v>44</v>
      </c>
      <c r="H31">
        <f t="shared" si="1"/>
        <v>46.413502109704638</v>
      </c>
      <c r="I31" t="s">
        <v>75</v>
      </c>
    </row>
    <row r="32" spans="4:9">
      <c r="D32">
        <v>28</v>
      </c>
      <c r="E32">
        <v>573</v>
      </c>
      <c r="F32">
        <f t="shared" si="0"/>
        <v>604.43037974683546</v>
      </c>
      <c r="G32">
        <v>20</v>
      </c>
      <c r="H32">
        <f t="shared" si="1"/>
        <v>21.09704641350211</v>
      </c>
      <c r="I32" t="s">
        <v>75</v>
      </c>
    </row>
    <row r="33" spans="4:9">
      <c r="D33">
        <v>29</v>
      </c>
      <c r="E33">
        <v>200</v>
      </c>
      <c r="F33">
        <f t="shared" si="0"/>
        <v>210.9704641350211</v>
      </c>
      <c r="G33">
        <v>53</v>
      </c>
      <c r="H33">
        <f t="shared" si="1"/>
        <v>55.907172995780591</v>
      </c>
      <c r="I33" t="s">
        <v>75</v>
      </c>
    </row>
    <row r="34" spans="4:9">
      <c r="D34">
        <v>30</v>
      </c>
      <c r="E34">
        <v>183</v>
      </c>
      <c r="F34">
        <f t="shared" si="0"/>
        <v>193.03797468354429</v>
      </c>
      <c r="G34">
        <v>63</v>
      </c>
      <c r="H34">
        <f t="shared" si="1"/>
        <v>66.455696202531641</v>
      </c>
      <c r="I34" t="s">
        <v>75</v>
      </c>
    </row>
    <row r="35" spans="4:9">
      <c r="D35">
        <v>31</v>
      </c>
      <c r="E35">
        <v>88</v>
      </c>
      <c r="F35">
        <f t="shared" si="0"/>
        <v>92.827004219409275</v>
      </c>
      <c r="G35">
        <v>61</v>
      </c>
      <c r="H35">
        <f t="shared" si="1"/>
        <v>64.345991561181435</v>
      </c>
      <c r="I35" t="s">
        <v>75</v>
      </c>
    </row>
    <row r="36" spans="4:9">
      <c r="D36">
        <v>32</v>
      </c>
      <c r="E36">
        <v>133</v>
      </c>
      <c r="F36">
        <f t="shared" si="0"/>
        <v>140.29535864978902</v>
      </c>
      <c r="G36">
        <v>48</v>
      </c>
      <c r="H36">
        <f t="shared" si="1"/>
        <v>50.632911392405063</v>
      </c>
      <c r="I36" t="s">
        <v>75</v>
      </c>
    </row>
    <row r="37" spans="4:9">
      <c r="D37">
        <v>33</v>
      </c>
      <c r="E37">
        <v>342</v>
      </c>
      <c r="F37">
        <f t="shared" ref="F37:F68" si="2">(E37*$B$4)</f>
        <v>360.75949367088606</v>
      </c>
      <c r="G37">
        <v>221</v>
      </c>
      <c r="H37">
        <f t="shared" ref="H37:H68" si="3">G37*$B$4</f>
        <v>233.1223628691983</v>
      </c>
      <c r="I37" t="s">
        <v>75</v>
      </c>
    </row>
    <row r="38" spans="4:9">
      <c r="D38">
        <v>34</v>
      </c>
      <c r="E38">
        <v>203</v>
      </c>
      <c r="F38">
        <f t="shared" si="2"/>
        <v>214.1350210970464</v>
      </c>
      <c r="G38">
        <v>165</v>
      </c>
      <c r="H38">
        <f t="shared" si="3"/>
        <v>174.0506329113924</v>
      </c>
      <c r="I38" t="s">
        <v>75</v>
      </c>
    </row>
    <row r="39" spans="4:9">
      <c r="D39">
        <v>35</v>
      </c>
      <c r="E39">
        <v>21</v>
      </c>
      <c r="F39">
        <f t="shared" si="2"/>
        <v>22.151898734177216</v>
      </c>
      <c r="G39">
        <v>10</v>
      </c>
      <c r="H39">
        <f t="shared" si="3"/>
        <v>10.548523206751055</v>
      </c>
      <c r="I39" t="s">
        <v>75</v>
      </c>
    </row>
    <row r="40" spans="4:9">
      <c r="D40">
        <v>36</v>
      </c>
      <c r="E40">
        <v>96</v>
      </c>
      <c r="F40">
        <f t="shared" si="2"/>
        <v>101.26582278481013</v>
      </c>
      <c r="G40">
        <v>85</v>
      </c>
      <c r="H40">
        <f t="shared" si="3"/>
        <v>89.66244725738396</v>
      </c>
      <c r="I40" t="s">
        <v>75</v>
      </c>
    </row>
    <row r="41" spans="4:9">
      <c r="D41">
        <v>37</v>
      </c>
      <c r="E41">
        <v>142</v>
      </c>
      <c r="F41">
        <f t="shared" si="2"/>
        <v>149.78902953586498</v>
      </c>
      <c r="G41">
        <v>90</v>
      </c>
      <c r="H41">
        <f t="shared" si="3"/>
        <v>94.936708860759495</v>
      </c>
      <c r="I41" t="s">
        <v>75</v>
      </c>
    </row>
    <row r="42" spans="4:9">
      <c r="D42">
        <v>38</v>
      </c>
      <c r="E42">
        <v>152</v>
      </c>
      <c r="F42">
        <f t="shared" si="2"/>
        <v>160.33755274261603</v>
      </c>
      <c r="G42">
        <v>35</v>
      </c>
      <c r="H42">
        <f t="shared" si="3"/>
        <v>36.919831223628691</v>
      </c>
      <c r="I42" t="s">
        <v>75</v>
      </c>
    </row>
    <row r="43" spans="4:9">
      <c r="D43">
        <v>39</v>
      </c>
      <c r="E43">
        <v>80</v>
      </c>
      <c r="F43">
        <f t="shared" si="2"/>
        <v>84.388185654008439</v>
      </c>
      <c r="G43">
        <v>52</v>
      </c>
      <c r="H43">
        <f t="shared" si="3"/>
        <v>54.852320675105489</v>
      </c>
      <c r="I43" t="s">
        <v>75</v>
      </c>
    </row>
    <row r="44" spans="4:9">
      <c r="D44">
        <v>40</v>
      </c>
      <c r="E44">
        <v>144</v>
      </c>
      <c r="F44">
        <f t="shared" si="2"/>
        <v>151.8987341772152</v>
      </c>
      <c r="G44">
        <v>95</v>
      </c>
      <c r="H44">
        <f t="shared" si="3"/>
        <v>100.21097046413502</v>
      </c>
      <c r="I44" t="s">
        <v>75</v>
      </c>
    </row>
    <row r="45" spans="4:9">
      <c r="D45">
        <v>41</v>
      </c>
      <c r="E45">
        <v>213</v>
      </c>
      <c r="F45">
        <f t="shared" si="2"/>
        <v>224.68354430379748</v>
      </c>
      <c r="G45">
        <v>23</v>
      </c>
      <c r="H45">
        <f t="shared" si="3"/>
        <v>24.261603375527425</v>
      </c>
      <c r="I45" t="s">
        <v>75</v>
      </c>
    </row>
    <row r="46" spans="4:9">
      <c r="D46">
        <v>42</v>
      </c>
      <c r="E46">
        <v>244</v>
      </c>
      <c r="F46">
        <f t="shared" si="2"/>
        <v>257.38396624472574</v>
      </c>
      <c r="G46">
        <v>133</v>
      </c>
      <c r="H46">
        <f t="shared" si="3"/>
        <v>140.29535864978902</v>
      </c>
      <c r="I46" t="s">
        <v>75</v>
      </c>
    </row>
    <row r="47" spans="4:9">
      <c r="D47">
        <v>43</v>
      </c>
      <c r="E47">
        <v>198</v>
      </c>
      <c r="F47">
        <f t="shared" si="2"/>
        <v>208.86075949367088</v>
      </c>
      <c r="G47">
        <v>80</v>
      </c>
      <c r="H47">
        <f t="shared" si="3"/>
        <v>84.388185654008439</v>
      </c>
      <c r="I47" t="s">
        <v>75</v>
      </c>
    </row>
    <row r="48" spans="4:9">
      <c r="D48">
        <v>44</v>
      </c>
      <c r="E48">
        <v>155</v>
      </c>
      <c r="F48">
        <f t="shared" si="2"/>
        <v>163.50210970464136</v>
      </c>
      <c r="G48">
        <v>63</v>
      </c>
      <c r="H48">
        <f t="shared" si="3"/>
        <v>66.455696202531641</v>
      </c>
      <c r="I48" t="s">
        <v>75</v>
      </c>
    </row>
    <row r="49" spans="4:9">
      <c r="D49">
        <v>45</v>
      </c>
      <c r="E49">
        <v>102</v>
      </c>
      <c r="F49">
        <f t="shared" si="2"/>
        <v>107.59493670886076</v>
      </c>
      <c r="G49">
        <v>50</v>
      </c>
      <c r="H49">
        <f t="shared" si="3"/>
        <v>52.742616033755276</v>
      </c>
      <c r="I49" t="s">
        <v>75</v>
      </c>
    </row>
    <row r="50" spans="4:9">
      <c r="D50">
        <v>46</v>
      </c>
      <c r="E50">
        <v>174</v>
      </c>
      <c r="F50">
        <f t="shared" si="2"/>
        <v>183.54430379746836</v>
      </c>
      <c r="G50">
        <v>121</v>
      </c>
      <c r="H50">
        <f t="shared" si="3"/>
        <v>127.63713080168776</v>
      </c>
      <c r="I50" t="s">
        <v>75</v>
      </c>
    </row>
    <row r="51" spans="4:9">
      <c r="D51">
        <v>47</v>
      </c>
      <c r="E51">
        <v>164</v>
      </c>
      <c r="F51">
        <f t="shared" si="2"/>
        <v>172.99578059071729</v>
      </c>
      <c r="G51">
        <v>99</v>
      </c>
      <c r="H51">
        <f t="shared" si="3"/>
        <v>104.43037974683544</v>
      </c>
      <c r="I51" t="s">
        <v>75</v>
      </c>
    </row>
    <row r="52" spans="4:9">
      <c r="D52">
        <v>48</v>
      </c>
      <c r="E52">
        <v>290</v>
      </c>
      <c r="F52">
        <f t="shared" si="2"/>
        <v>305.90717299578057</v>
      </c>
      <c r="G52">
        <v>143</v>
      </c>
      <c r="H52">
        <f t="shared" si="3"/>
        <v>150.84388185654009</v>
      </c>
      <c r="I52" t="s">
        <v>75</v>
      </c>
    </row>
    <row r="53" spans="4:9">
      <c r="D53">
        <v>49</v>
      </c>
      <c r="E53">
        <v>108</v>
      </c>
      <c r="F53">
        <f t="shared" si="2"/>
        <v>113.92405063291139</v>
      </c>
      <c r="G53">
        <v>111</v>
      </c>
      <c r="H53">
        <f t="shared" si="3"/>
        <v>117.0886075949367</v>
      </c>
      <c r="I53" t="s">
        <v>75</v>
      </c>
    </row>
    <row r="54" spans="4:9">
      <c r="D54">
        <v>50</v>
      </c>
      <c r="E54">
        <v>129</v>
      </c>
      <c r="F54">
        <f t="shared" si="2"/>
        <v>136.07594936708861</v>
      </c>
      <c r="G54">
        <v>71</v>
      </c>
      <c r="H54">
        <f t="shared" si="3"/>
        <v>74.894514767932492</v>
      </c>
      <c r="I54" t="s">
        <v>75</v>
      </c>
    </row>
    <row r="55" spans="4:9">
      <c r="D55">
        <v>51</v>
      </c>
      <c r="E55">
        <v>138</v>
      </c>
      <c r="F55">
        <f t="shared" si="2"/>
        <v>145.56962025316454</v>
      </c>
      <c r="G55">
        <v>76</v>
      </c>
      <c r="H55">
        <f t="shared" si="3"/>
        <v>80.168776371308013</v>
      </c>
      <c r="I55" t="s">
        <v>75</v>
      </c>
    </row>
    <row r="56" spans="4:9">
      <c r="D56">
        <v>52</v>
      </c>
      <c r="E56">
        <v>150</v>
      </c>
      <c r="F56">
        <f t="shared" si="2"/>
        <v>158.22784810126583</v>
      </c>
      <c r="G56">
        <v>154</v>
      </c>
      <c r="H56">
        <f t="shared" si="3"/>
        <v>162.44725738396625</v>
      </c>
      <c r="I56" t="s">
        <v>75</v>
      </c>
    </row>
    <row r="57" spans="4:9">
      <c r="D57">
        <v>53</v>
      </c>
      <c r="E57">
        <v>394</v>
      </c>
      <c r="F57">
        <f t="shared" si="2"/>
        <v>415.61181434599155</v>
      </c>
      <c r="G57">
        <v>29</v>
      </c>
      <c r="H57">
        <f t="shared" si="3"/>
        <v>30.59071729957806</v>
      </c>
      <c r="I57" t="s">
        <v>75</v>
      </c>
    </row>
    <row r="58" spans="4:9">
      <c r="D58">
        <v>54</v>
      </c>
      <c r="E58">
        <v>69</v>
      </c>
      <c r="F58">
        <f t="shared" si="2"/>
        <v>72.784810126582272</v>
      </c>
      <c r="G58">
        <v>54</v>
      </c>
      <c r="H58">
        <f t="shared" si="3"/>
        <v>56.962025316455694</v>
      </c>
      <c r="I58" t="s">
        <v>75</v>
      </c>
    </row>
    <row r="59" spans="4:9">
      <c r="D59">
        <v>55</v>
      </c>
      <c r="E59">
        <v>504</v>
      </c>
      <c r="F59">
        <f t="shared" si="2"/>
        <v>531.64556962025313</v>
      </c>
      <c r="G59">
        <v>198</v>
      </c>
      <c r="H59">
        <f t="shared" si="3"/>
        <v>208.86075949367088</v>
      </c>
      <c r="I59" t="s">
        <v>75</v>
      </c>
    </row>
    <row r="60" spans="4:9">
      <c r="D60">
        <v>56</v>
      </c>
      <c r="E60">
        <v>55</v>
      </c>
      <c r="F60">
        <f t="shared" si="2"/>
        <v>58.016877637130804</v>
      </c>
      <c r="G60">
        <v>43</v>
      </c>
      <c r="H60">
        <f t="shared" si="3"/>
        <v>45.358649789029535</v>
      </c>
      <c r="I60" t="s">
        <v>75</v>
      </c>
    </row>
    <row r="61" spans="4:9">
      <c r="D61">
        <v>57</v>
      </c>
      <c r="E61">
        <v>59</v>
      </c>
      <c r="F61">
        <f t="shared" si="2"/>
        <v>62.236286919831223</v>
      </c>
      <c r="G61">
        <v>41</v>
      </c>
      <c r="H61">
        <f t="shared" si="3"/>
        <v>43.248945147679322</v>
      </c>
      <c r="I61" t="s">
        <v>75</v>
      </c>
    </row>
    <row r="62" spans="4:9">
      <c r="D62">
        <v>58</v>
      </c>
      <c r="E62">
        <v>62</v>
      </c>
      <c r="F62">
        <f t="shared" si="2"/>
        <v>65.400843881856545</v>
      </c>
      <c r="G62">
        <v>29</v>
      </c>
      <c r="H62">
        <f t="shared" si="3"/>
        <v>30.59071729957806</v>
      </c>
      <c r="I62" t="s">
        <v>75</v>
      </c>
    </row>
    <row r="63" spans="4:9">
      <c r="D63">
        <v>59</v>
      </c>
      <c r="E63">
        <v>88</v>
      </c>
      <c r="F63">
        <f t="shared" si="2"/>
        <v>92.827004219409275</v>
      </c>
      <c r="G63">
        <v>39</v>
      </c>
      <c r="H63">
        <f t="shared" si="3"/>
        <v>41.139240506329116</v>
      </c>
      <c r="I63" t="s">
        <v>75</v>
      </c>
    </row>
    <row r="64" spans="4:9">
      <c r="D64">
        <v>60</v>
      </c>
      <c r="E64">
        <v>34</v>
      </c>
      <c r="F64">
        <f t="shared" si="2"/>
        <v>35.864978902953588</v>
      </c>
      <c r="G64">
        <v>28</v>
      </c>
      <c r="H64">
        <f t="shared" si="3"/>
        <v>29.535864978902953</v>
      </c>
      <c r="I64" t="s">
        <v>75</v>
      </c>
    </row>
    <row r="65" spans="4:9">
      <c r="D65">
        <v>61</v>
      </c>
      <c r="E65">
        <v>24</v>
      </c>
      <c r="F65">
        <f t="shared" si="2"/>
        <v>25.316455696202532</v>
      </c>
      <c r="G65">
        <v>18</v>
      </c>
      <c r="H65">
        <f t="shared" si="3"/>
        <v>18.9873417721519</v>
      </c>
      <c r="I65" t="s">
        <v>75</v>
      </c>
    </row>
    <row r="66" spans="4:9">
      <c r="D66">
        <v>62</v>
      </c>
      <c r="E66">
        <v>21</v>
      </c>
      <c r="F66">
        <f t="shared" si="2"/>
        <v>22.151898734177216</v>
      </c>
      <c r="G66">
        <v>16</v>
      </c>
      <c r="H66">
        <f t="shared" si="3"/>
        <v>16.877637130801688</v>
      </c>
      <c r="I66" t="s">
        <v>75</v>
      </c>
    </row>
    <row r="67" spans="4:9">
      <c r="D67">
        <v>63</v>
      </c>
      <c r="E67">
        <v>37</v>
      </c>
      <c r="F67">
        <f t="shared" si="2"/>
        <v>39.029535864978904</v>
      </c>
      <c r="G67">
        <v>19</v>
      </c>
      <c r="H67">
        <f t="shared" si="3"/>
        <v>20.042194092827003</v>
      </c>
      <c r="I67" t="s">
        <v>75</v>
      </c>
    </row>
    <row r="68" spans="4:9">
      <c r="D68">
        <v>64</v>
      </c>
      <c r="E68">
        <v>44</v>
      </c>
      <c r="F68">
        <f t="shared" si="2"/>
        <v>46.413502109704638</v>
      </c>
      <c r="G68">
        <v>41</v>
      </c>
      <c r="H68">
        <f t="shared" si="3"/>
        <v>43.248945147679322</v>
      </c>
      <c r="I68" t="s">
        <v>75</v>
      </c>
    </row>
    <row r="69" spans="4:9">
      <c r="D69">
        <v>65</v>
      </c>
      <c r="E69">
        <v>49</v>
      </c>
      <c r="F69">
        <f t="shared" ref="F69:F100" si="4">(E69*$B$4)</f>
        <v>51.687763713080166</v>
      </c>
      <c r="G69">
        <v>40</v>
      </c>
      <c r="H69">
        <f t="shared" ref="H69:H100" si="5">G69*$B$4</f>
        <v>42.194092827004219</v>
      </c>
      <c r="I69" t="s">
        <v>75</v>
      </c>
    </row>
    <row r="70" spans="4:9">
      <c r="D70">
        <v>66</v>
      </c>
      <c r="E70">
        <v>285</v>
      </c>
      <c r="F70">
        <f t="shared" si="4"/>
        <v>300.63291139240505</v>
      </c>
      <c r="G70">
        <v>196</v>
      </c>
      <c r="H70">
        <f t="shared" si="5"/>
        <v>206.75105485232066</v>
      </c>
      <c r="I70" t="s">
        <v>75</v>
      </c>
    </row>
    <row r="71" spans="4:9">
      <c r="D71">
        <v>67</v>
      </c>
      <c r="E71">
        <v>192</v>
      </c>
      <c r="F71">
        <f t="shared" si="4"/>
        <v>202.53164556962025</v>
      </c>
      <c r="G71">
        <v>102</v>
      </c>
      <c r="H71">
        <f t="shared" si="5"/>
        <v>107.59493670886076</v>
      </c>
      <c r="I71" t="s">
        <v>75</v>
      </c>
    </row>
    <row r="72" spans="4:9">
      <c r="D72">
        <v>68</v>
      </c>
      <c r="E72">
        <v>437</v>
      </c>
      <c r="F72">
        <f t="shared" si="4"/>
        <v>460.97046413502107</v>
      </c>
      <c r="G72">
        <v>88</v>
      </c>
      <c r="H72">
        <f t="shared" si="5"/>
        <v>92.827004219409275</v>
      </c>
      <c r="I72" t="s">
        <v>75</v>
      </c>
    </row>
    <row r="73" spans="4:9">
      <c r="D73">
        <v>69</v>
      </c>
      <c r="E73">
        <v>418</v>
      </c>
      <c r="F73">
        <f t="shared" si="4"/>
        <v>440.92827004219407</v>
      </c>
      <c r="G73">
        <v>91</v>
      </c>
      <c r="H73">
        <f t="shared" si="5"/>
        <v>95.991561181434605</v>
      </c>
      <c r="I73" t="s">
        <v>75</v>
      </c>
    </row>
    <row r="74" spans="4:9">
      <c r="D74">
        <v>70</v>
      </c>
      <c r="E74">
        <v>280</v>
      </c>
      <c r="F74">
        <f t="shared" si="4"/>
        <v>295.35864978902953</v>
      </c>
      <c r="G74">
        <v>41</v>
      </c>
      <c r="H74">
        <f t="shared" si="5"/>
        <v>43.248945147679322</v>
      </c>
      <c r="I74" t="s">
        <v>75</v>
      </c>
    </row>
    <row r="75" spans="4:9">
      <c r="D75">
        <v>71</v>
      </c>
      <c r="E75">
        <v>103</v>
      </c>
      <c r="F75">
        <f t="shared" si="4"/>
        <v>108.64978902953587</v>
      </c>
      <c r="G75">
        <v>55</v>
      </c>
      <c r="H75">
        <f t="shared" si="5"/>
        <v>58.016877637130804</v>
      </c>
      <c r="I75" t="s">
        <v>75</v>
      </c>
    </row>
    <row r="76" spans="4:9">
      <c r="D76">
        <v>72</v>
      </c>
      <c r="E76">
        <v>157</v>
      </c>
      <c r="F76">
        <f t="shared" si="4"/>
        <v>165.61181434599155</v>
      </c>
      <c r="G76">
        <v>49</v>
      </c>
      <c r="H76">
        <f t="shared" si="5"/>
        <v>51.687763713080166</v>
      </c>
      <c r="I76" t="s">
        <v>75</v>
      </c>
    </row>
    <row r="77" spans="4:9">
      <c r="D77">
        <v>73</v>
      </c>
      <c r="E77">
        <v>133</v>
      </c>
      <c r="F77">
        <f t="shared" si="4"/>
        <v>140.29535864978902</v>
      </c>
      <c r="G77">
        <v>47</v>
      </c>
      <c r="H77">
        <f t="shared" si="5"/>
        <v>49.57805907172996</v>
      </c>
      <c r="I77" t="s">
        <v>75</v>
      </c>
    </row>
    <row r="78" spans="4:9">
      <c r="D78">
        <v>74</v>
      </c>
      <c r="E78">
        <v>147</v>
      </c>
      <c r="F78">
        <f t="shared" si="4"/>
        <v>155.0632911392405</v>
      </c>
      <c r="G78">
        <v>33</v>
      </c>
      <c r="H78">
        <f t="shared" si="5"/>
        <v>34.810126582278478</v>
      </c>
      <c r="I78" t="s">
        <v>75</v>
      </c>
    </row>
    <row r="79" spans="4:9">
      <c r="D79">
        <v>75</v>
      </c>
      <c r="E79">
        <v>161</v>
      </c>
      <c r="F79">
        <f t="shared" si="4"/>
        <v>169.83122362869199</v>
      </c>
      <c r="G79">
        <v>28</v>
      </c>
      <c r="H79">
        <f t="shared" si="5"/>
        <v>29.535864978902953</v>
      </c>
      <c r="I79" t="s">
        <v>75</v>
      </c>
    </row>
    <row r="80" spans="4:9">
      <c r="D80">
        <v>76</v>
      </c>
      <c r="E80">
        <v>110</v>
      </c>
      <c r="F80">
        <f t="shared" si="4"/>
        <v>116.03375527426161</v>
      </c>
      <c r="G80">
        <v>56</v>
      </c>
      <c r="H80">
        <f t="shared" si="5"/>
        <v>59.071729957805907</v>
      </c>
      <c r="I80" t="s">
        <v>75</v>
      </c>
    </row>
    <row r="81" spans="4:9">
      <c r="D81">
        <v>77</v>
      </c>
      <c r="E81">
        <v>256</v>
      </c>
      <c r="F81">
        <f t="shared" si="4"/>
        <v>270.042194092827</v>
      </c>
      <c r="G81">
        <v>124</v>
      </c>
      <c r="H81">
        <f t="shared" si="5"/>
        <v>130.80168776371309</v>
      </c>
      <c r="I81" t="s">
        <v>75</v>
      </c>
    </row>
    <row r="82" spans="4:9">
      <c r="D82">
        <v>78</v>
      </c>
      <c r="E82">
        <v>232</v>
      </c>
      <c r="F82">
        <f t="shared" si="4"/>
        <v>244.72573839662448</v>
      </c>
      <c r="G82">
        <v>105</v>
      </c>
      <c r="H82">
        <f t="shared" si="5"/>
        <v>110.75949367088607</v>
      </c>
      <c r="I82" t="s">
        <v>75</v>
      </c>
    </row>
    <row r="83" spans="4:9">
      <c r="D83">
        <v>79</v>
      </c>
      <c r="E83">
        <v>203</v>
      </c>
      <c r="F83">
        <f t="shared" si="4"/>
        <v>214.1350210970464</v>
      </c>
      <c r="G83">
        <v>155</v>
      </c>
      <c r="H83">
        <f t="shared" si="5"/>
        <v>163.50210970464136</v>
      </c>
      <c r="I83" t="s">
        <v>75</v>
      </c>
    </row>
    <row r="84" spans="4:9">
      <c r="D84">
        <v>80</v>
      </c>
      <c r="E84">
        <v>198</v>
      </c>
      <c r="F84">
        <f t="shared" si="4"/>
        <v>208.86075949367088</v>
      </c>
      <c r="G84">
        <v>143</v>
      </c>
      <c r="H84">
        <f t="shared" si="5"/>
        <v>150.84388185654009</v>
      </c>
      <c r="I84" t="s">
        <v>75</v>
      </c>
    </row>
    <row r="85" spans="4:9">
      <c r="D85">
        <v>81</v>
      </c>
      <c r="E85">
        <v>239</v>
      </c>
      <c r="F85">
        <f t="shared" si="4"/>
        <v>252.10970464135022</v>
      </c>
      <c r="G85">
        <v>82</v>
      </c>
      <c r="H85">
        <f t="shared" si="5"/>
        <v>86.497890295358644</v>
      </c>
      <c r="I85" t="s">
        <v>75</v>
      </c>
    </row>
    <row r="86" spans="4:9">
      <c r="D86">
        <v>82</v>
      </c>
      <c r="E86">
        <v>67</v>
      </c>
      <c r="F86">
        <f t="shared" si="4"/>
        <v>70.675105485232066</v>
      </c>
      <c r="G86">
        <v>55</v>
      </c>
      <c r="H86">
        <f t="shared" si="5"/>
        <v>58.016877637130804</v>
      </c>
      <c r="I86" t="s">
        <v>75</v>
      </c>
    </row>
    <row r="87" spans="4:9">
      <c r="D87">
        <v>83</v>
      </c>
      <c r="E87">
        <v>69</v>
      </c>
      <c r="F87">
        <f t="shared" si="4"/>
        <v>72.784810126582272</v>
      </c>
      <c r="G87">
        <v>43</v>
      </c>
      <c r="H87">
        <f t="shared" si="5"/>
        <v>45.358649789029535</v>
      </c>
      <c r="I87" t="s">
        <v>75</v>
      </c>
    </row>
    <row r="88" spans="4:9">
      <c r="D88">
        <v>84</v>
      </c>
      <c r="E88">
        <v>63</v>
      </c>
      <c r="F88">
        <f t="shared" si="4"/>
        <v>66.455696202531641</v>
      </c>
      <c r="G88">
        <v>23</v>
      </c>
      <c r="H88">
        <f t="shared" si="5"/>
        <v>24.261603375527425</v>
      </c>
      <c r="I88" t="s">
        <v>75</v>
      </c>
    </row>
    <row r="89" spans="4:9">
      <c r="D89">
        <v>85</v>
      </c>
      <c r="E89">
        <v>61</v>
      </c>
      <c r="F89">
        <f t="shared" si="4"/>
        <v>64.345991561181435</v>
      </c>
      <c r="G89">
        <v>35</v>
      </c>
      <c r="H89">
        <f t="shared" si="5"/>
        <v>36.919831223628691</v>
      </c>
      <c r="I89" t="s">
        <v>75</v>
      </c>
    </row>
    <row r="90" spans="4:9">
      <c r="D90">
        <v>86</v>
      </c>
      <c r="E90">
        <v>55</v>
      </c>
      <c r="F90">
        <f t="shared" si="4"/>
        <v>58.016877637130804</v>
      </c>
      <c r="G90">
        <v>41</v>
      </c>
      <c r="H90">
        <f t="shared" si="5"/>
        <v>43.248945147679322</v>
      </c>
      <c r="I90" t="s">
        <v>75</v>
      </c>
    </row>
    <row r="91" spans="4:9">
      <c r="D91">
        <v>87</v>
      </c>
      <c r="E91">
        <v>200</v>
      </c>
      <c r="F91">
        <f t="shared" si="4"/>
        <v>210.9704641350211</v>
      </c>
      <c r="G91">
        <v>84</v>
      </c>
      <c r="H91">
        <f t="shared" si="5"/>
        <v>88.607594936708864</v>
      </c>
      <c r="I91" t="s">
        <v>75</v>
      </c>
    </row>
    <row r="92" spans="4:9">
      <c r="D92">
        <v>88</v>
      </c>
      <c r="E92">
        <v>96</v>
      </c>
      <c r="F92">
        <f t="shared" si="4"/>
        <v>101.26582278481013</v>
      </c>
      <c r="G92">
        <v>66</v>
      </c>
      <c r="H92">
        <f t="shared" si="5"/>
        <v>69.620253164556956</v>
      </c>
      <c r="I92" t="s">
        <v>75</v>
      </c>
    </row>
    <row r="93" spans="4:9">
      <c r="D93">
        <v>89</v>
      </c>
      <c r="E93">
        <v>54</v>
      </c>
      <c r="F93">
        <f t="shared" si="4"/>
        <v>56.962025316455694</v>
      </c>
      <c r="G93">
        <v>36</v>
      </c>
      <c r="H93">
        <f t="shared" si="5"/>
        <v>37.974683544303801</v>
      </c>
      <c r="I93" t="s">
        <v>75</v>
      </c>
    </row>
    <row r="94" spans="4:9">
      <c r="D94">
        <v>90</v>
      </c>
      <c r="E94">
        <v>286</v>
      </c>
      <c r="F94">
        <f t="shared" si="4"/>
        <v>301.68776371308019</v>
      </c>
      <c r="G94">
        <v>135</v>
      </c>
      <c r="H94">
        <f t="shared" si="5"/>
        <v>142.40506329113924</v>
      </c>
      <c r="I94" t="s">
        <v>75</v>
      </c>
    </row>
    <row r="95" spans="4:9">
      <c r="D95">
        <v>91</v>
      </c>
      <c r="E95">
        <v>72</v>
      </c>
      <c r="F95">
        <f t="shared" si="4"/>
        <v>75.949367088607602</v>
      </c>
      <c r="G95">
        <v>61</v>
      </c>
      <c r="H95">
        <f t="shared" si="5"/>
        <v>64.345991561181435</v>
      </c>
      <c r="I95" t="s">
        <v>75</v>
      </c>
    </row>
    <row r="96" spans="4:9">
      <c r="D96">
        <v>92</v>
      </c>
      <c r="E96">
        <v>81</v>
      </c>
      <c r="F96">
        <f t="shared" si="4"/>
        <v>85.443037974683548</v>
      </c>
      <c r="G96">
        <v>55</v>
      </c>
      <c r="H96">
        <f t="shared" si="5"/>
        <v>58.016877637130804</v>
      </c>
      <c r="I96" t="s">
        <v>75</v>
      </c>
    </row>
    <row r="97" spans="4:9">
      <c r="D97">
        <v>93</v>
      </c>
      <c r="E97">
        <v>188</v>
      </c>
      <c r="F97">
        <f t="shared" si="4"/>
        <v>198.31223628691984</v>
      </c>
      <c r="G97">
        <v>104</v>
      </c>
      <c r="H97">
        <f t="shared" si="5"/>
        <v>109.70464135021098</v>
      </c>
      <c r="I97" t="s">
        <v>75</v>
      </c>
    </row>
    <row r="98" spans="4:9">
      <c r="D98">
        <v>94</v>
      </c>
      <c r="E98">
        <v>142</v>
      </c>
      <c r="F98">
        <f t="shared" si="4"/>
        <v>149.78902953586498</v>
      </c>
      <c r="G98">
        <v>98</v>
      </c>
      <c r="H98">
        <f t="shared" si="5"/>
        <v>103.37552742616033</v>
      </c>
      <c r="I98" t="s">
        <v>75</v>
      </c>
    </row>
    <row r="99" spans="4:9">
      <c r="D99">
        <v>95</v>
      </c>
      <c r="E99">
        <v>139</v>
      </c>
      <c r="F99">
        <f t="shared" si="4"/>
        <v>146.62447257383965</v>
      </c>
      <c r="G99">
        <v>83</v>
      </c>
      <c r="H99">
        <f t="shared" si="5"/>
        <v>87.552742616033754</v>
      </c>
      <c r="I99" t="s">
        <v>75</v>
      </c>
    </row>
    <row r="100" spans="4:9">
      <c r="D100">
        <v>96</v>
      </c>
      <c r="E100">
        <v>192</v>
      </c>
      <c r="F100">
        <f t="shared" si="4"/>
        <v>202.53164556962025</v>
      </c>
      <c r="G100">
        <v>120</v>
      </c>
      <c r="H100">
        <f t="shared" si="5"/>
        <v>126.58227848101265</v>
      </c>
      <c r="I100" t="s">
        <v>75</v>
      </c>
    </row>
    <row r="101" spans="4:9">
      <c r="D101">
        <v>97</v>
      </c>
      <c r="E101">
        <v>201</v>
      </c>
      <c r="F101">
        <f t="shared" ref="F101:F132" si="6">(E101*$B$4)</f>
        <v>212.02531645569621</v>
      </c>
      <c r="G101">
        <v>139</v>
      </c>
      <c r="H101">
        <f t="shared" ref="H101:H132" si="7">G101*$B$4</f>
        <v>146.62447257383965</v>
      </c>
      <c r="I101" t="s">
        <v>75</v>
      </c>
    </row>
    <row r="102" spans="4:9">
      <c r="D102">
        <v>98</v>
      </c>
      <c r="E102">
        <v>213</v>
      </c>
      <c r="F102">
        <f t="shared" si="6"/>
        <v>224.68354430379748</v>
      </c>
      <c r="G102">
        <v>122</v>
      </c>
      <c r="H102">
        <f t="shared" si="7"/>
        <v>128.69198312236287</v>
      </c>
      <c r="I102" t="s">
        <v>75</v>
      </c>
    </row>
    <row r="103" spans="4:9">
      <c r="D103">
        <v>99</v>
      </c>
      <c r="E103">
        <v>200</v>
      </c>
      <c r="F103">
        <f t="shared" si="6"/>
        <v>210.9704641350211</v>
      </c>
      <c r="G103">
        <v>143</v>
      </c>
      <c r="H103">
        <f t="shared" si="7"/>
        <v>150.84388185654009</v>
      </c>
      <c r="I103" t="s">
        <v>75</v>
      </c>
    </row>
    <row r="104" spans="4:9">
      <c r="D104">
        <v>100</v>
      </c>
      <c r="E104">
        <v>241</v>
      </c>
      <c r="F104">
        <f t="shared" si="6"/>
        <v>254.21940928270041</v>
      </c>
      <c r="G104">
        <v>121</v>
      </c>
      <c r="H104">
        <f t="shared" si="7"/>
        <v>127.63713080168776</v>
      </c>
      <c r="I104" t="s">
        <v>75</v>
      </c>
    </row>
    <row r="105" spans="4:9">
      <c r="D105">
        <v>101</v>
      </c>
      <c r="E105">
        <v>237</v>
      </c>
      <c r="F105">
        <f t="shared" si="6"/>
        <v>250</v>
      </c>
      <c r="G105">
        <v>108</v>
      </c>
      <c r="H105">
        <f t="shared" si="7"/>
        <v>113.92405063291139</v>
      </c>
      <c r="I105" t="s">
        <v>75</v>
      </c>
    </row>
    <row r="106" spans="4:9">
      <c r="D106">
        <v>102</v>
      </c>
      <c r="E106">
        <v>245</v>
      </c>
      <c r="F106">
        <f t="shared" si="6"/>
        <v>258.43881856540082</v>
      </c>
      <c r="G106">
        <v>165</v>
      </c>
      <c r="H106">
        <f t="shared" si="7"/>
        <v>174.0506329113924</v>
      </c>
      <c r="I106" t="s">
        <v>75</v>
      </c>
    </row>
    <row r="107" spans="4:9">
      <c r="D107">
        <v>103</v>
      </c>
      <c r="E107">
        <v>236</v>
      </c>
      <c r="F107">
        <f t="shared" si="6"/>
        <v>248.94514767932489</v>
      </c>
      <c r="G107">
        <v>154</v>
      </c>
      <c r="H107">
        <f t="shared" si="7"/>
        <v>162.44725738396625</v>
      </c>
      <c r="I107" t="s">
        <v>75</v>
      </c>
    </row>
    <row r="108" spans="4:9">
      <c r="D108">
        <v>104</v>
      </c>
      <c r="E108">
        <v>207</v>
      </c>
      <c r="F108">
        <f t="shared" si="6"/>
        <v>218.35443037974684</v>
      </c>
      <c r="G108">
        <v>148</v>
      </c>
      <c r="H108">
        <f t="shared" si="7"/>
        <v>156.11814345991561</v>
      </c>
      <c r="I108" t="s">
        <v>75</v>
      </c>
    </row>
    <row r="109" spans="4:9">
      <c r="D109">
        <v>105</v>
      </c>
      <c r="E109">
        <v>209</v>
      </c>
      <c r="F109">
        <f t="shared" si="6"/>
        <v>220.46413502109704</v>
      </c>
      <c r="G109">
        <v>188</v>
      </c>
      <c r="H109">
        <f t="shared" si="7"/>
        <v>198.31223628691984</v>
      </c>
      <c r="I109" t="s">
        <v>75</v>
      </c>
    </row>
    <row r="110" spans="4:9">
      <c r="D110">
        <v>106</v>
      </c>
      <c r="E110">
        <v>278</v>
      </c>
      <c r="F110">
        <f t="shared" si="6"/>
        <v>293.24894514767931</v>
      </c>
      <c r="G110">
        <v>155</v>
      </c>
      <c r="H110">
        <f t="shared" si="7"/>
        <v>163.50210970464136</v>
      </c>
      <c r="I110" t="s">
        <v>75</v>
      </c>
    </row>
    <row r="111" spans="4:9">
      <c r="D111">
        <v>107</v>
      </c>
      <c r="E111">
        <v>288</v>
      </c>
      <c r="F111">
        <f t="shared" si="6"/>
        <v>303.79746835443041</v>
      </c>
      <c r="G111">
        <v>143</v>
      </c>
      <c r="H111">
        <f t="shared" si="7"/>
        <v>150.84388185654009</v>
      </c>
      <c r="I111" t="s">
        <v>75</v>
      </c>
    </row>
    <row r="112" spans="4:9">
      <c r="D112">
        <v>108</v>
      </c>
      <c r="E112">
        <v>267</v>
      </c>
      <c r="F112">
        <f t="shared" si="6"/>
        <v>281.64556962025318</v>
      </c>
      <c r="G112">
        <v>198</v>
      </c>
      <c r="H112">
        <f t="shared" si="7"/>
        <v>208.86075949367088</v>
      </c>
      <c r="I112" t="s">
        <v>75</v>
      </c>
    </row>
    <row r="113" spans="4:9">
      <c r="D113">
        <v>109</v>
      </c>
      <c r="E113">
        <v>243</v>
      </c>
      <c r="F113">
        <f t="shared" si="6"/>
        <v>256.32911392405066</v>
      </c>
      <c r="G113">
        <v>202</v>
      </c>
      <c r="H113">
        <f t="shared" si="7"/>
        <v>213.08016877637129</v>
      </c>
      <c r="I113" t="s">
        <v>75</v>
      </c>
    </row>
    <row r="114" spans="4:9">
      <c r="D114">
        <v>110</v>
      </c>
      <c r="E114">
        <v>251</v>
      </c>
      <c r="F114">
        <f t="shared" si="6"/>
        <v>264.76793248945148</v>
      </c>
      <c r="G114">
        <v>183</v>
      </c>
      <c r="H114">
        <f t="shared" si="7"/>
        <v>193.03797468354429</v>
      </c>
      <c r="I114" t="s">
        <v>75</v>
      </c>
    </row>
    <row r="115" spans="4:9">
      <c r="D115">
        <v>111</v>
      </c>
      <c r="E115">
        <v>205</v>
      </c>
      <c r="F115">
        <f t="shared" si="6"/>
        <v>216.24472573839662</v>
      </c>
      <c r="G115">
        <v>29</v>
      </c>
      <c r="H115">
        <f t="shared" si="7"/>
        <v>30.59071729957806</v>
      </c>
      <c r="I115" t="s">
        <v>75</v>
      </c>
    </row>
    <row r="116" spans="4:9">
      <c r="D116">
        <v>112</v>
      </c>
      <c r="E116">
        <v>251</v>
      </c>
      <c r="F116">
        <f t="shared" si="6"/>
        <v>264.76793248945148</v>
      </c>
      <c r="G116">
        <v>34</v>
      </c>
      <c r="H116">
        <f t="shared" si="7"/>
        <v>35.864978902953588</v>
      </c>
      <c r="I116" t="s">
        <v>75</v>
      </c>
    </row>
    <row r="117" spans="4:9">
      <c r="D117">
        <v>113</v>
      </c>
      <c r="E117">
        <v>231</v>
      </c>
      <c r="F117">
        <f t="shared" si="6"/>
        <v>243.67088607594937</v>
      </c>
      <c r="G117">
        <v>28</v>
      </c>
      <c r="H117">
        <f t="shared" si="7"/>
        <v>29.535864978902953</v>
      </c>
      <c r="I117" t="s">
        <v>75</v>
      </c>
    </row>
    <row r="118" spans="4:9">
      <c r="D118">
        <v>114</v>
      </c>
      <c r="E118">
        <v>306</v>
      </c>
      <c r="F118">
        <f t="shared" si="6"/>
        <v>322.78481012658227</v>
      </c>
      <c r="G118">
        <v>289</v>
      </c>
      <c r="H118">
        <f t="shared" si="7"/>
        <v>304.85232067510549</v>
      </c>
      <c r="I118" t="s">
        <v>75</v>
      </c>
    </row>
    <row r="119" spans="4:9">
      <c r="D119">
        <v>115</v>
      </c>
      <c r="E119">
        <v>88</v>
      </c>
      <c r="F119">
        <f t="shared" si="6"/>
        <v>92.827004219409275</v>
      </c>
      <c r="G119">
        <v>65</v>
      </c>
      <c r="H119">
        <f t="shared" si="7"/>
        <v>68.565400843881861</v>
      </c>
      <c r="I119" t="s">
        <v>75</v>
      </c>
    </row>
    <row r="120" spans="4:9">
      <c r="D120">
        <v>116</v>
      </c>
      <c r="E120">
        <v>62</v>
      </c>
      <c r="F120">
        <f t="shared" si="6"/>
        <v>65.400843881856545</v>
      </c>
      <c r="G120">
        <v>58</v>
      </c>
      <c r="H120">
        <f t="shared" si="7"/>
        <v>61.18143459915612</v>
      </c>
      <c r="I120" t="s">
        <v>75</v>
      </c>
    </row>
    <row r="121" spans="4:9">
      <c r="D121">
        <v>117</v>
      </c>
      <c r="E121">
        <v>59</v>
      </c>
      <c r="F121">
        <f t="shared" si="6"/>
        <v>62.236286919831223</v>
      </c>
      <c r="G121">
        <v>45</v>
      </c>
      <c r="H121">
        <f t="shared" si="7"/>
        <v>47.468354430379748</v>
      </c>
      <c r="I121" t="s">
        <v>75</v>
      </c>
    </row>
    <row r="122" spans="4:9">
      <c r="D122">
        <v>118</v>
      </c>
      <c r="E122">
        <v>79</v>
      </c>
      <c r="F122">
        <f t="shared" si="6"/>
        <v>83.333333333333329</v>
      </c>
      <c r="G122">
        <v>63</v>
      </c>
      <c r="H122">
        <f t="shared" si="7"/>
        <v>66.455696202531641</v>
      </c>
      <c r="I122" t="s">
        <v>75</v>
      </c>
    </row>
    <row r="123" spans="4:9">
      <c r="D123">
        <v>119</v>
      </c>
      <c r="E123">
        <v>71</v>
      </c>
      <c r="F123">
        <f t="shared" si="6"/>
        <v>74.894514767932492</v>
      </c>
      <c r="G123">
        <v>64</v>
      </c>
      <c r="H123">
        <f t="shared" si="7"/>
        <v>67.510548523206751</v>
      </c>
      <c r="I123" t="s">
        <v>75</v>
      </c>
    </row>
    <row r="124" spans="4:9">
      <c r="D124">
        <v>120</v>
      </c>
      <c r="E124">
        <v>66</v>
      </c>
      <c r="F124">
        <f t="shared" si="6"/>
        <v>69.620253164556956</v>
      </c>
      <c r="G124">
        <v>61</v>
      </c>
      <c r="H124">
        <f t="shared" si="7"/>
        <v>64.345991561181435</v>
      </c>
      <c r="I124" t="s">
        <v>75</v>
      </c>
    </row>
    <row r="125" spans="4:9">
      <c r="D125">
        <v>121</v>
      </c>
      <c r="E125">
        <v>68</v>
      </c>
      <c r="F125">
        <f t="shared" si="6"/>
        <v>71.729957805907176</v>
      </c>
      <c r="G125">
        <v>62</v>
      </c>
      <c r="H125">
        <f t="shared" si="7"/>
        <v>65.400843881856545</v>
      </c>
      <c r="I125" t="s">
        <v>75</v>
      </c>
    </row>
    <row r="126" spans="4:9">
      <c r="D126">
        <v>122</v>
      </c>
      <c r="E126">
        <v>265</v>
      </c>
      <c r="F126">
        <f t="shared" si="6"/>
        <v>279.53586497890296</v>
      </c>
      <c r="G126">
        <v>153</v>
      </c>
      <c r="H126">
        <f t="shared" si="7"/>
        <v>161.39240506329114</v>
      </c>
      <c r="I126" t="s">
        <v>75</v>
      </c>
    </row>
    <row r="127" spans="4:9">
      <c r="D127">
        <v>123</v>
      </c>
      <c r="E127">
        <v>293</v>
      </c>
      <c r="F127">
        <f t="shared" si="6"/>
        <v>309.07172995780593</v>
      </c>
      <c r="G127">
        <v>238</v>
      </c>
      <c r="H127">
        <f t="shared" si="7"/>
        <v>251.05485232067511</v>
      </c>
      <c r="I127" t="s">
        <v>75</v>
      </c>
    </row>
    <row r="128" spans="4:9">
      <c r="D128">
        <v>124</v>
      </c>
      <c r="E128">
        <v>196</v>
      </c>
      <c r="F128">
        <f t="shared" si="6"/>
        <v>206.75105485232066</v>
      </c>
      <c r="G128">
        <v>173</v>
      </c>
      <c r="H128">
        <f t="shared" si="7"/>
        <v>182.48945147679325</v>
      </c>
      <c r="I128" t="s">
        <v>75</v>
      </c>
    </row>
    <row r="129" spans="4:9">
      <c r="D129">
        <v>125</v>
      </c>
      <c r="E129">
        <v>23</v>
      </c>
      <c r="F129">
        <f t="shared" si="6"/>
        <v>24.261603375527425</v>
      </c>
      <c r="G129">
        <v>14</v>
      </c>
      <c r="H129">
        <f t="shared" si="7"/>
        <v>14.767932489451477</v>
      </c>
      <c r="I129" t="s">
        <v>75</v>
      </c>
    </row>
    <row r="130" spans="4:9">
      <c r="D130">
        <v>126</v>
      </c>
      <c r="E130">
        <v>27</v>
      </c>
      <c r="F130">
        <f t="shared" si="6"/>
        <v>28.481012658227847</v>
      </c>
      <c r="G130">
        <v>11</v>
      </c>
      <c r="H130">
        <f t="shared" si="7"/>
        <v>11.603375527426159</v>
      </c>
      <c r="I130" t="s">
        <v>75</v>
      </c>
    </row>
    <row r="131" spans="4:9">
      <c r="D131">
        <v>127</v>
      </c>
      <c r="E131">
        <v>169</v>
      </c>
      <c r="F131">
        <f t="shared" si="6"/>
        <v>178.27004219409284</v>
      </c>
      <c r="G131">
        <v>161</v>
      </c>
      <c r="H131">
        <f t="shared" si="7"/>
        <v>169.83122362869199</v>
      </c>
      <c r="I131" t="s">
        <v>75</v>
      </c>
    </row>
    <row r="132" spans="4:9">
      <c r="D132">
        <v>128</v>
      </c>
      <c r="E132">
        <v>159</v>
      </c>
      <c r="F132">
        <f t="shared" si="6"/>
        <v>167.72151898734177</v>
      </c>
      <c r="G132">
        <v>142</v>
      </c>
      <c r="H132">
        <f t="shared" si="7"/>
        <v>149.78902953586498</v>
      </c>
      <c r="I132" t="s">
        <v>75</v>
      </c>
    </row>
    <row r="133" spans="4:9">
      <c r="D133">
        <v>129</v>
      </c>
      <c r="E133">
        <v>298</v>
      </c>
      <c r="F133">
        <f t="shared" ref="F133:F154" si="8">(E133*$B$4)</f>
        <v>314.34599156118145</v>
      </c>
      <c r="G133">
        <v>203</v>
      </c>
      <c r="H133">
        <f t="shared" ref="H133:H154" si="9">G133*$B$4</f>
        <v>214.1350210970464</v>
      </c>
      <c r="I133" t="s">
        <v>75</v>
      </c>
    </row>
    <row r="134" spans="4:9">
      <c r="D134">
        <v>130</v>
      </c>
      <c r="E134">
        <v>356</v>
      </c>
      <c r="F134">
        <f t="shared" si="8"/>
        <v>375.52742616033754</v>
      </c>
      <c r="G134">
        <v>95</v>
      </c>
      <c r="H134">
        <f t="shared" si="9"/>
        <v>100.21097046413502</v>
      </c>
      <c r="I134" t="s">
        <v>75</v>
      </c>
    </row>
    <row r="135" spans="4:9">
      <c r="D135">
        <v>131</v>
      </c>
      <c r="E135">
        <v>342</v>
      </c>
      <c r="F135">
        <f t="shared" si="8"/>
        <v>360.75949367088606</v>
      </c>
      <c r="G135">
        <v>274</v>
      </c>
      <c r="H135">
        <f t="shared" si="9"/>
        <v>289.02953586497893</v>
      </c>
      <c r="I135" t="s">
        <v>75</v>
      </c>
    </row>
    <row r="136" spans="4:9">
      <c r="D136">
        <v>132</v>
      </c>
      <c r="E136">
        <v>184</v>
      </c>
      <c r="F136">
        <f t="shared" si="8"/>
        <v>194.0928270042194</v>
      </c>
      <c r="G136">
        <v>103</v>
      </c>
      <c r="H136">
        <f t="shared" si="9"/>
        <v>108.64978902953587</v>
      </c>
      <c r="I136" t="s">
        <v>75</v>
      </c>
    </row>
    <row r="137" spans="4:9">
      <c r="D137">
        <v>133</v>
      </c>
      <c r="E137">
        <v>198</v>
      </c>
      <c r="F137">
        <f t="shared" si="8"/>
        <v>208.86075949367088</v>
      </c>
      <c r="G137">
        <v>103</v>
      </c>
      <c r="H137">
        <f t="shared" si="9"/>
        <v>108.64978902953587</v>
      </c>
      <c r="I137" t="s">
        <v>75</v>
      </c>
    </row>
    <row r="138" spans="4:9">
      <c r="D138">
        <v>134</v>
      </c>
      <c r="E138">
        <v>185</v>
      </c>
      <c r="F138">
        <f t="shared" si="8"/>
        <v>195.14767932489451</v>
      </c>
      <c r="G138">
        <v>111</v>
      </c>
      <c r="H138">
        <f t="shared" si="9"/>
        <v>117.0886075949367</v>
      </c>
      <c r="I138" t="s">
        <v>75</v>
      </c>
    </row>
    <row r="139" spans="4:9">
      <c r="D139">
        <v>135</v>
      </c>
      <c r="E139">
        <v>27</v>
      </c>
      <c r="F139">
        <f t="shared" si="8"/>
        <v>28.481012658227847</v>
      </c>
      <c r="G139">
        <v>22</v>
      </c>
      <c r="H139">
        <f t="shared" si="9"/>
        <v>23.206751054852319</v>
      </c>
      <c r="I139" t="s">
        <v>75</v>
      </c>
    </row>
    <row r="140" spans="4:9">
      <c r="D140">
        <v>136</v>
      </c>
      <c r="E140">
        <v>79</v>
      </c>
      <c r="F140">
        <f t="shared" si="8"/>
        <v>83.333333333333329</v>
      </c>
      <c r="G140">
        <v>68</v>
      </c>
      <c r="H140">
        <f t="shared" si="9"/>
        <v>71.729957805907176</v>
      </c>
      <c r="I140" t="s">
        <v>75</v>
      </c>
    </row>
    <row r="141" spans="4:9">
      <c r="D141">
        <v>137</v>
      </c>
      <c r="E141">
        <v>189</v>
      </c>
      <c r="F141">
        <f t="shared" si="8"/>
        <v>199.36708860759492</v>
      </c>
      <c r="G141">
        <v>101</v>
      </c>
      <c r="H141">
        <f t="shared" si="9"/>
        <v>106.54008438818565</v>
      </c>
      <c r="I141" t="s">
        <v>75</v>
      </c>
    </row>
    <row r="142" spans="4:9">
      <c r="D142">
        <v>138</v>
      </c>
      <c r="E142">
        <v>438</v>
      </c>
      <c r="F142">
        <f t="shared" si="8"/>
        <v>462.02531645569621</v>
      </c>
      <c r="G142">
        <v>357</v>
      </c>
      <c r="H142">
        <f t="shared" si="9"/>
        <v>376.58227848101268</v>
      </c>
      <c r="I142" t="s">
        <v>75</v>
      </c>
    </row>
    <row r="143" spans="4:9">
      <c r="D143">
        <v>139</v>
      </c>
      <c r="E143">
        <v>186</v>
      </c>
      <c r="F143">
        <f t="shared" si="8"/>
        <v>196.20253164556962</v>
      </c>
      <c r="G143">
        <v>137</v>
      </c>
      <c r="H143">
        <f t="shared" si="9"/>
        <v>144.51476793248946</v>
      </c>
      <c r="I143" t="s">
        <v>75</v>
      </c>
    </row>
    <row r="144" spans="4:9">
      <c r="D144">
        <v>140</v>
      </c>
      <c r="E144">
        <v>164</v>
      </c>
      <c r="F144">
        <f t="shared" si="8"/>
        <v>172.99578059071729</v>
      </c>
      <c r="G144">
        <v>72</v>
      </c>
      <c r="H144">
        <f t="shared" si="9"/>
        <v>75.949367088607602</v>
      </c>
      <c r="I144" t="s">
        <v>75</v>
      </c>
    </row>
    <row r="145" spans="4:9">
      <c r="D145" s="3">
        <v>141</v>
      </c>
      <c r="E145">
        <v>472</v>
      </c>
      <c r="F145">
        <f t="shared" si="8"/>
        <v>497.89029535864978</v>
      </c>
      <c r="G145">
        <v>472</v>
      </c>
      <c r="H145">
        <f t="shared" si="9"/>
        <v>497.89029535864978</v>
      </c>
      <c r="I145" t="s">
        <v>74</v>
      </c>
    </row>
    <row r="146" spans="4:9">
      <c r="D146" s="3">
        <v>142</v>
      </c>
      <c r="E146">
        <v>411</v>
      </c>
      <c r="F146">
        <f t="shared" si="8"/>
        <v>433.54430379746833</v>
      </c>
      <c r="G146">
        <v>411</v>
      </c>
      <c r="H146">
        <f t="shared" si="9"/>
        <v>433.54430379746833</v>
      </c>
      <c r="I146" t="s">
        <v>74</v>
      </c>
    </row>
    <row r="147" spans="4:9">
      <c r="D147" s="3">
        <v>143</v>
      </c>
      <c r="E147">
        <v>423</v>
      </c>
      <c r="F147">
        <f t="shared" si="8"/>
        <v>446.20253164556959</v>
      </c>
      <c r="G147">
        <v>423</v>
      </c>
      <c r="H147">
        <f t="shared" si="9"/>
        <v>446.20253164556959</v>
      </c>
      <c r="I147" t="s">
        <v>74</v>
      </c>
    </row>
    <row r="148" spans="4:9">
      <c r="D148" s="3">
        <v>144</v>
      </c>
      <c r="E148">
        <v>461</v>
      </c>
      <c r="F148">
        <f t="shared" si="8"/>
        <v>486.2869198312236</v>
      </c>
      <c r="G148">
        <v>461</v>
      </c>
      <c r="H148">
        <f t="shared" si="9"/>
        <v>486.2869198312236</v>
      </c>
      <c r="I148" t="s">
        <v>74</v>
      </c>
    </row>
    <row r="149" spans="4:9">
      <c r="D149" s="3">
        <v>145</v>
      </c>
      <c r="E149">
        <v>502</v>
      </c>
      <c r="F149">
        <f t="shared" si="8"/>
        <v>529.53586497890296</v>
      </c>
      <c r="G149">
        <v>502</v>
      </c>
      <c r="H149">
        <f t="shared" si="9"/>
        <v>529.53586497890296</v>
      </c>
      <c r="I149" t="s">
        <v>74</v>
      </c>
    </row>
    <row r="150" spans="4:9">
      <c r="D150" s="3">
        <v>146</v>
      </c>
      <c r="E150">
        <v>292</v>
      </c>
      <c r="F150">
        <f t="shared" si="8"/>
        <v>308.01687763713079</v>
      </c>
      <c r="G150">
        <v>292</v>
      </c>
      <c r="H150">
        <f t="shared" si="9"/>
        <v>308.01687763713079</v>
      </c>
      <c r="I150" t="s">
        <v>74</v>
      </c>
    </row>
    <row r="151" spans="4:9">
      <c r="D151" s="3">
        <v>147</v>
      </c>
      <c r="E151">
        <v>498</v>
      </c>
      <c r="F151">
        <f t="shared" si="8"/>
        <v>525.31645569620252</v>
      </c>
      <c r="G151">
        <v>498</v>
      </c>
      <c r="H151">
        <f t="shared" si="9"/>
        <v>525.31645569620252</v>
      </c>
      <c r="I151" t="s">
        <v>74</v>
      </c>
    </row>
    <row r="152" spans="4:9">
      <c r="D152" s="3">
        <v>148</v>
      </c>
      <c r="E152">
        <v>417</v>
      </c>
      <c r="F152">
        <f t="shared" si="8"/>
        <v>439.87341772151899</v>
      </c>
      <c r="G152">
        <v>417</v>
      </c>
      <c r="H152">
        <f t="shared" si="9"/>
        <v>439.87341772151899</v>
      </c>
      <c r="I152" t="s">
        <v>74</v>
      </c>
    </row>
    <row r="153" spans="4:9">
      <c r="D153" s="3">
        <v>149</v>
      </c>
      <c r="E153">
        <v>576</v>
      </c>
      <c r="F153">
        <f t="shared" si="8"/>
        <v>607.59493670886081</v>
      </c>
      <c r="G153">
        <v>576</v>
      </c>
      <c r="H153">
        <f t="shared" si="9"/>
        <v>607.59493670886081</v>
      </c>
      <c r="I153" t="s">
        <v>74</v>
      </c>
    </row>
    <row r="154" spans="4:9">
      <c r="D154" s="3">
        <v>150</v>
      </c>
      <c r="E154">
        <v>456</v>
      </c>
      <c r="F154">
        <f t="shared" si="8"/>
        <v>481.01265822784808</v>
      </c>
      <c r="G154">
        <v>456</v>
      </c>
      <c r="H154">
        <f t="shared" si="9"/>
        <v>481.01265822784808</v>
      </c>
      <c r="I154" t="s">
        <v>74</v>
      </c>
    </row>
    <row r="156" spans="4:9">
      <c r="D156" t="s">
        <v>41</v>
      </c>
      <c r="E156" s="3">
        <f>AVERAGE(E5:E154)</f>
        <v>189.33333333333334</v>
      </c>
      <c r="F156" s="3">
        <f>AVERAGE(F5:F154)</f>
        <v>199.71870604781998</v>
      </c>
      <c r="G156" s="3">
        <f>AVERAGE(G5:G154)</f>
        <v>115.6</v>
      </c>
      <c r="H156" s="3">
        <f>AVERAGE(H5:H154)</f>
        <v>121.94092827004221</v>
      </c>
    </row>
    <row r="157" spans="4:9">
      <c r="D157" t="s">
        <v>39</v>
      </c>
      <c r="E157">
        <f>MAX(E5:E154)</f>
        <v>576</v>
      </c>
      <c r="F157">
        <f>MAX(F5:F154)</f>
        <v>607.59493670886081</v>
      </c>
      <c r="G157">
        <f t="shared" ref="G157:H157" si="10">MAX(G5:G154)</f>
        <v>576</v>
      </c>
      <c r="H157">
        <f t="shared" si="10"/>
        <v>607.59493670886081</v>
      </c>
    </row>
    <row r="158" spans="4:9">
      <c r="D158" t="s">
        <v>38</v>
      </c>
      <c r="E158">
        <f>MIN(E5:E154)</f>
        <v>21</v>
      </c>
      <c r="F158">
        <f>MIN(F5:F154)</f>
        <v>22.151898734177216</v>
      </c>
      <c r="G158">
        <f t="shared" ref="G158:H158" si="11">MIN(G5:G154)</f>
        <v>10</v>
      </c>
      <c r="H158">
        <f t="shared" si="11"/>
        <v>10.548523206751055</v>
      </c>
    </row>
    <row r="159" spans="4:9">
      <c r="D159" t="s">
        <v>26</v>
      </c>
      <c r="E159">
        <f>MEDIAN(E5:E154)</f>
        <v>164</v>
      </c>
      <c r="F159">
        <f>MEDIAN(F5:F154)</f>
        <v>172.99578059071729</v>
      </c>
      <c r="G159">
        <f t="shared" ref="G159:H159" si="12">MEDIAN(G5:G154)</f>
        <v>83.5</v>
      </c>
      <c r="H159">
        <f t="shared" si="12"/>
        <v>88.080168776371309</v>
      </c>
    </row>
    <row r="160" spans="4:9">
      <c r="D160" t="s">
        <v>112</v>
      </c>
      <c r="E160">
        <f t="shared" ref="E160:H160" si="13">_xlfn.STDEV.S(E5:E154)</f>
        <v>123.82216446029808</v>
      </c>
      <c r="F160">
        <f>_xlfn.STDEV.S(F5:F154)</f>
        <v>130.61409753195997</v>
      </c>
      <c r="G160">
        <f t="shared" si="13"/>
        <v>108.71963820554051</v>
      </c>
      <c r="H160">
        <f t="shared" si="13"/>
        <v>114.68316266407227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5"/>
  <sheetViews>
    <sheetView topLeftCell="A155" workbookViewId="0">
      <selection activeCell="K32" sqref="K32"/>
    </sheetView>
  </sheetViews>
  <sheetFormatPr baseColWidth="10" defaultRowHeight="15"/>
  <cols>
    <col min="6" max="6" width="10.83203125" style="3"/>
    <col min="8" max="8" width="10.83203125" style="3"/>
  </cols>
  <sheetData>
    <row r="1" spans="1:8">
      <c r="A1" s="8" t="s">
        <v>73</v>
      </c>
      <c r="D1" s="8" t="s">
        <v>179</v>
      </c>
    </row>
    <row r="2" spans="1:8">
      <c r="A2" t="s">
        <v>77</v>
      </c>
      <c r="B2" t="s">
        <v>78</v>
      </c>
    </row>
    <row r="3" spans="1:8">
      <c r="A3">
        <v>246</v>
      </c>
      <c r="B3">
        <v>250</v>
      </c>
    </row>
    <row r="4" spans="1:8">
      <c r="A4">
        <v>1</v>
      </c>
      <c r="B4">
        <v>1.0162601626016261</v>
      </c>
    </row>
    <row r="8" spans="1:8">
      <c r="C8" t="s">
        <v>59</v>
      </c>
      <c r="D8" t="s">
        <v>22</v>
      </c>
      <c r="E8" s="3" t="s">
        <v>82</v>
      </c>
      <c r="F8" t="s">
        <v>80</v>
      </c>
      <c r="G8" s="3" t="s">
        <v>81</v>
      </c>
      <c r="H8" s="3" t="s">
        <v>76</v>
      </c>
    </row>
    <row r="9" spans="1:8">
      <c r="C9">
        <v>1</v>
      </c>
      <c r="D9">
        <v>381</v>
      </c>
      <c r="E9" s="3">
        <v>387.19512195121956</v>
      </c>
      <c r="F9">
        <v>372.435</v>
      </c>
      <c r="G9" s="3">
        <v>378.49085365853659</v>
      </c>
      <c r="H9" t="s">
        <v>97</v>
      </c>
    </row>
    <row r="10" spans="1:8">
      <c r="C10">
        <v>2</v>
      </c>
      <c r="D10">
        <v>436.28100000000001</v>
      </c>
      <c r="E10" s="3">
        <v>443.37500000000006</v>
      </c>
      <c r="F10">
        <v>330.40899999999999</v>
      </c>
      <c r="G10" s="3">
        <v>335.78150406504068</v>
      </c>
      <c r="H10" t="s">
        <v>87</v>
      </c>
    </row>
    <row r="11" spans="1:8">
      <c r="C11">
        <v>3</v>
      </c>
      <c r="D11">
        <v>336.48200000000003</v>
      </c>
      <c r="E11" s="3">
        <v>341.95325203252037</v>
      </c>
      <c r="F11">
        <v>210</v>
      </c>
      <c r="G11" s="3">
        <v>213.41463414634148</v>
      </c>
      <c r="H11" t="s">
        <v>87</v>
      </c>
    </row>
    <row r="12" spans="1:8">
      <c r="C12">
        <v>4</v>
      </c>
      <c r="D12">
        <v>361.01100000000002</v>
      </c>
      <c r="E12" s="3">
        <v>366.88109756097566</v>
      </c>
      <c r="F12">
        <v>228.178</v>
      </c>
      <c r="G12" s="3">
        <v>231.88821138211384</v>
      </c>
      <c r="H12" t="s">
        <v>87</v>
      </c>
    </row>
    <row r="13" spans="1:8">
      <c r="C13">
        <v>5</v>
      </c>
      <c r="D13">
        <v>223.39400000000001</v>
      </c>
      <c r="E13" s="3">
        <v>227.02642276422768</v>
      </c>
      <c r="F13">
        <v>114.82599999999999</v>
      </c>
      <c r="G13" s="3">
        <v>116.69308943089432</v>
      </c>
      <c r="H13" t="s">
        <v>98</v>
      </c>
    </row>
    <row r="14" spans="1:8">
      <c r="C14">
        <v>6</v>
      </c>
      <c r="D14">
        <v>234.077</v>
      </c>
      <c r="E14" s="3">
        <v>237.88313008130083</v>
      </c>
      <c r="F14">
        <v>168.107</v>
      </c>
      <c r="G14" s="3">
        <v>170.84044715447155</v>
      </c>
      <c r="H14" t="s">
        <v>87</v>
      </c>
    </row>
    <row r="15" spans="1:8">
      <c r="C15">
        <v>7</v>
      </c>
      <c r="D15">
        <v>124.852</v>
      </c>
      <c r="E15" s="3">
        <v>126.88211382113823</v>
      </c>
      <c r="F15">
        <v>122.119</v>
      </c>
      <c r="G15" s="3">
        <v>124.10467479674797</v>
      </c>
      <c r="H15" t="s">
        <v>87</v>
      </c>
    </row>
    <row r="16" spans="1:8">
      <c r="C16">
        <v>8</v>
      </c>
      <c r="D16">
        <v>305.5</v>
      </c>
      <c r="E16" s="3">
        <v>310.46747967479678</v>
      </c>
      <c r="F16">
        <v>197.29400000000001</v>
      </c>
      <c r="G16" s="3">
        <v>200.50203252032523</v>
      </c>
      <c r="H16" t="s">
        <v>87</v>
      </c>
    </row>
    <row r="17" spans="3:8">
      <c r="C17">
        <v>9</v>
      </c>
      <c r="D17">
        <v>258.94</v>
      </c>
      <c r="E17" s="3">
        <v>263.15040650406507</v>
      </c>
      <c r="F17">
        <v>193.215</v>
      </c>
      <c r="G17" s="3">
        <v>196.35670731707319</v>
      </c>
      <c r="H17" t="s">
        <v>87</v>
      </c>
    </row>
    <row r="18" spans="3:8">
      <c r="C18">
        <v>10</v>
      </c>
      <c r="D18">
        <v>167.92</v>
      </c>
      <c r="E18" s="3">
        <v>170.65040650406505</v>
      </c>
      <c r="F18">
        <v>155.68199999999999</v>
      </c>
      <c r="G18" s="3">
        <v>158.21341463414635</v>
      </c>
      <c r="H18" t="s">
        <v>87</v>
      </c>
    </row>
    <row r="19" spans="3:8">
      <c r="C19">
        <v>11</v>
      </c>
      <c r="D19">
        <v>140.61600000000001</v>
      </c>
      <c r="E19" s="3">
        <v>142.90243902439028</v>
      </c>
      <c r="F19">
        <v>123.146</v>
      </c>
      <c r="G19" s="3">
        <v>125.14837398373984</v>
      </c>
      <c r="H19" t="s">
        <v>87</v>
      </c>
    </row>
    <row r="20" spans="3:8">
      <c r="C20">
        <v>12</v>
      </c>
      <c r="D20">
        <v>290.39600000000002</v>
      </c>
      <c r="E20" s="3">
        <v>295.11788617886185</v>
      </c>
      <c r="F20">
        <v>116.846</v>
      </c>
      <c r="G20" s="3">
        <v>118.74593495934961</v>
      </c>
      <c r="H20" t="s">
        <v>87</v>
      </c>
    </row>
    <row r="21" spans="3:8">
      <c r="C21">
        <v>13</v>
      </c>
      <c r="D21">
        <v>186.387</v>
      </c>
      <c r="E21" s="3">
        <v>189.41768292682929</v>
      </c>
      <c r="F21">
        <v>174.41300000000001</v>
      </c>
      <c r="G21" s="3">
        <v>177.24898373983743</v>
      </c>
      <c r="H21" t="s">
        <v>87</v>
      </c>
    </row>
    <row r="22" spans="3:8">
      <c r="C22">
        <v>14</v>
      </c>
      <c r="D22">
        <v>234.327</v>
      </c>
      <c r="E22" s="3">
        <v>238.13719512195124</v>
      </c>
      <c r="F22">
        <v>209.571</v>
      </c>
      <c r="G22" s="3">
        <v>212.97865853658539</v>
      </c>
      <c r="H22" t="s">
        <v>87</v>
      </c>
    </row>
    <row r="23" spans="3:8">
      <c r="C23">
        <v>15</v>
      </c>
      <c r="D23">
        <v>293.01900000000001</v>
      </c>
      <c r="E23" s="3">
        <v>297.78353658536588</v>
      </c>
      <c r="F23">
        <v>209.571</v>
      </c>
      <c r="G23" s="3">
        <v>212.97865853658539</v>
      </c>
      <c r="H23" t="s">
        <v>87</v>
      </c>
    </row>
    <row r="24" spans="3:8">
      <c r="C24">
        <v>16</v>
      </c>
      <c r="D24">
        <v>179.72499999999999</v>
      </c>
      <c r="E24" s="3">
        <v>182.64735772357724</v>
      </c>
      <c r="F24">
        <v>169.83799999999999</v>
      </c>
      <c r="G24" s="3">
        <v>172.59959349593495</v>
      </c>
      <c r="H24" t="s">
        <v>87</v>
      </c>
    </row>
    <row r="25" spans="3:8">
      <c r="C25">
        <v>17</v>
      </c>
      <c r="D25">
        <v>169.83799999999999</v>
      </c>
      <c r="E25" s="3">
        <v>172.59959349593495</v>
      </c>
      <c r="F25">
        <v>135.93</v>
      </c>
      <c r="G25" s="3">
        <v>138.14024390243904</v>
      </c>
      <c r="H25" t="s">
        <v>87</v>
      </c>
    </row>
    <row r="26" spans="3:8">
      <c r="C26">
        <v>18</v>
      </c>
      <c r="D26">
        <v>304.245</v>
      </c>
      <c r="E26" s="3">
        <v>309.19207317073176</v>
      </c>
      <c r="F26">
        <v>202.428</v>
      </c>
      <c r="G26" s="3">
        <v>205.71951219512198</v>
      </c>
      <c r="H26" t="s">
        <v>87</v>
      </c>
    </row>
    <row r="27" spans="3:8">
      <c r="C27">
        <v>19</v>
      </c>
      <c r="D27">
        <v>345.32600000000002</v>
      </c>
      <c r="E27" s="3">
        <v>350.94105691056916</v>
      </c>
      <c r="F27">
        <v>212.49199999999999</v>
      </c>
      <c r="G27" s="3">
        <v>215.94715447154474</v>
      </c>
      <c r="H27" t="s">
        <v>99</v>
      </c>
    </row>
    <row r="28" spans="3:8">
      <c r="C28">
        <v>20</v>
      </c>
      <c r="D28">
        <v>330.34100000000001</v>
      </c>
      <c r="E28" s="3">
        <v>335.71239837398377</v>
      </c>
      <c r="F28">
        <v>207.02199999999999</v>
      </c>
      <c r="G28" s="3">
        <v>210.38821138211384</v>
      </c>
      <c r="H28" t="s">
        <v>99</v>
      </c>
    </row>
    <row r="29" spans="3:8">
      <c r="C29">
        <v>21</v>
      </c>
      <c r="D29">
        <v>357.99400000000003</v>
      </c>
      <c r="E29" s="3">
        <v>363.81504065040656</v>
      </c>
      <c r="F29">
        <v>243</v>
      </c>
      <c r="G29" s="3">
        <v>246.95121951219514</v>
      </c>
      <c r="H29" t="s">
        <v>99</v>
      </c>
    </row>
    <row r="30" spans="3:8">
      <c r="C30">
        <v>22</v>
      </c>
      <c r="D30">
        <v>188.809</v>
      </c>
      <c r="E30" s="3">
        <v>191.87906504065043</v>
      </c>
      <c r="F30">
        <v>169.06800000000001</v>
      </c>
      <c r="G30" s="3">
        <v>171.81707317073173</v>
      </c>
      <c r="H30" t="s">
        <v>87</v>
      </c>
    </row>
    <row r="31" spans="3:8">
      <c r="C31">
        <v>23</v>
      </c>
      <c r="D31">
        <v>170.262</v>
      </c>
      <c r="E31" s="3">
        <v>173.03048780487808</v>
      </c>
      <c r="F31">
        <v>142.27099999999999</v>
      </c>
      <c r="G31" s="3">
        <v>144.58434959349594</v>
      </c>
      <c r="H31" t="s">
        <v>87</v>
      </c>
    </row>
    <row r="32" spans="3:8">
      <c r="C32">
        <v>24</v>
      </c>
      <c r="D32">
        <v>317.71699999999998</v>
      </c>
      <c r="E32" s="3">
        <v>322.88313008130081</v>
      </c>
      <c r="F32">
        <v>254.55799999999999</v>
      </c>
      <c r="G32" s="3">
        <v>258.69715447154471</v>
      </c>
      <c r="H32" t="s">
        <v>87</v>
      </c>
    </row>
    <row r="33" spans="3:8">
      <c r="C33">
        <v>25</v>
      </c>
      <c r="D33">
        <v>317.54700000000003</v>
      </c>
      <c r="E33" s="3">
        <v>322.71036585365857</v>
      </c>
      <c r="F33">
        <v>126.178</v>
      </c>
      <c r="G33" s="3">
        <v>128.22967479674799</v>
      </c>
      <c r="H33" t="s">
        <v>87</v>
      </c>
    </row>
    <row r="34" spans="3:8">
      <c r="C34">
        <v>26</v>
      </c>
      <c r="D34">
        <v>136.85400000000001</v>
      </c>
      <c r="E34" s="3">
        <v>139.07926829268294</v>
      </c>
      <c r="F34">
        <v>99.905000000000001</v>
      </c>
      <c r="G34" s="3">
        <v>101.52947154471546</v>
      </c>
      <c r="H34" t="s">
        <v>87</v>
      </c>
    </row>
    <row r="35" spans="3:8">
      <c r="C35">
        <v>27</v>
      </c>
      <c r="D35">
        <v>252.517</v>
      </c>
      <c r="E35" s="3">
        <v>256.6229674796748</v>
      </c>
      <c r="F35">
        <v>232.398</v>
      </c>
      <c r="G35" s="3">
        <v>236.17682926829269</v>
      </c>
      <c r="H35" t="s">
        <v>87</v>
      </c>
    </row>
    <row r="36" spans="3:8">
      <c r="C36">
        <v>28</v>
      </c>
      <c r="D36">
        <v>254.59399999999999</v>
      </c>
      <c r="E36" s="3">
        <v>258.73373983739839</v>
      </c>
      <c r="F36">
        <v>188.809</v>
      </c>
      <c r="G36" s="3">
        <v>191.87906504065043</v>
      </c>
      <c r="H36" t="s">
        <v>87</v>
      </c>
    </row>
    <row r="37" spans="3:8">
      <c r="C37">
        <v>29</v>
      </c>
      <c r="D37">
        <v>246.018</v>
      </c>
      <c r="E37" s="3">
        <v>250.01829268292684</v>
      </c>
      <c r="F37">
        <v>243.07400000000001</v>
      </c>
      <c r="G37" s="3">
        <v>247.02642276422768</v>
      </c>
      <c r="H37" t="s">
        <v>87</v>
      </c>
    </row>
    <row r="38" spans="3:8">
      <c r="C38">
        <v>30</v>
      </c>
      <c r="D38">
        <v>191.107</v>
      </c>
      <c r="E38" s="3">
        <v>194.21443089430895</v>
      </c>
      <c r="F38">
        <v>148.977</v>
      </c>
      <c r="G38" s="3">
        <v>151.39939024390245</v>
      </c>
      <c r="H38" t="s">
        <v>87</v>
      </c>
    </row>
    <row r="39" spans="3:8">
      <c r="C39">
        <v>31</v>
      </c>
      <c r="D39">
        <v>334.81900000000002</v>
      </c>
      <c r="E39" s="3">
        <v>340.26321138211387</v>
      </c>
      <c r="F39">
        <v>201.69300000000001</v>
      </c>
      <c r="G39" s="3">
        <v>204.97256097560978</v>
      </c>
      <c r="H39" t="s">
        <v>87</v>
      </c>
    </row>
    <row r="40" spans="3:8">
      <c r="C40">
        <v>32</v>
      </c>
      <c r="D40">
        <v>75</v>
      </c>
      <c r="E40" s="3">
        <v>76.219512195121965</v>
      </c>
      <c r="F40">
        <v>70.292000000000002</v>
      </c>
      <c r="G40" s="3">
        <v>71.434959349593498</v>
      </c>
      <c r="H40" t="s">
        <v>87</v>
      </c>
    </row>
    <row r="41" spans="3:8">
      <c r="C41">
        <v>33</v>
      </c>
      <c r="D41">
        <v>341.85500000000002</v>
      </c>
      <c r="E41" s="3">
        <v>347.41361788617888</v>
      </c>
      <c r="F41">
        <v>193.14500000000001</v>
      </c>
      <c r="G41" s="3">
        <v>196.28556910569108</v>
      </c>
      <c r="H41" t="s">
        <v>99</v>
      </c>
    </row>
    <row r="42" spans="3:8">
      <c r="C42">
        <v>34</v>
      </c>
      <c r="D42">
        <v>346.80799999999999</v>
      </c>
      <c r="E42" s="3">
        <v>352.44715447154476</v>
      </c>
      <c r="F42">
        <v>260.77600000000001</v>
      </c>
      <c r="G42" s="3">
        <v>265.01626016260167</v>
      </c>
      <c r="H42" t="s">
        <v>99</v>
      </c>
    </row>
    <row r="43" spans="3:8">
      <c r="C43">
        <v>35</v>
      </c>
      <c r="D43">
        <v>108.374</v>
      </c>
      <c r="E43" s="3">
        <v>110.13617886178862</v>
      </c>
      <c r="F43">
        <v>87</v>
      </c>
      <c r="G43" s="3">
        <v>88.41463414634147</v>
      </c>
      <c r="H43" t="s">
        <v>100</v>
      </c>
    </row>
    <row r="44" spans="3:8">
      <c r="C44">
        <v>36</v>
      </c>
      <c r="D44">
        <v>252.517</v>
      </c>
      <c r="E44" s="3">
        <v>256.6229674796748</v>
      </c>
      <c r="F44">
        <v>237.96600000000001</v>
      </c>
      <c r="G44" s="3">
        <v>241.83536585365857</v>
      </c>
      <c r="H44" s="9" t="s">
        <v>87</v>
      </c>
    </row>
    <row r="45" spans="3:8">
      <c r="C45">
        <v>37</v>
      </c>
      <c r="D45">
        <v>204.19800000000001</v>
      </c>
      <c r="E45" s="3">
        <v>207.51829268292684</v>
      </c>
      <c r="F45">
        <v>127.35</v>
      </c>
      <c r="G45" s="3">
        <v>129.42073170731709</v>
      </c>
      <c r="H45" s="9" t="s">
        <v>87</v>
      </c>
    </row>
    <row r="46" spans="3:8">
      <c r="C46">
        <v>38</v>
      </c>
      <c r="D46">
        <v>135.83099999999999</v>
      </c>
      <c r="E46" s="3">
        <v>138.03963414634146</v>
      </c>
      <c r="F46">
        <v>114.86499999999999</v>
      </c>
      <c r="G46" s="3">
        <v>116.73272357723577</v>
      </c>
      <c r="H46" s="9" t="s">
        <v>87</v>
      </c>
    </row>
    <row r="47" spans="3:8">
      <c r="C47">
        <v>39</v>
      </c>
      <c r="D47">
        <v>330.95299999999997</v>
      </c>
      <c r="E47" s="3">
        <v>336.33434959349592</v>
      </c>
      <c r="F47">
        <v>193.05199999999999</v>
      </c>
      <c r="G47" s="3">
        <v>196.1910569105691</v>
      </c>
      <c r="H47" s="9" t="s">
        <v>87</v>
      </c>
    </row>
    <row r="48" spans="3:8">
      <c r="C48">
        <v>40</v>
      </c>
      <c r="D48">
        <v>240.3</v>
      </c>
      <c r="E48" s="3">
        <v>244.20731707317077</v>
      </c>
      <c r="F48">
        <v>105.374</v>
      </c>
      <c r="G48" s="3">
        <v>107.08739837398375</v>
      </c>
      <c r="H48" s="9" t="s">
        <v>87</v>
      </c>
    </row>
    <row r="49" spans="3:8">
      <c r="C49">
        <v>41</v>
      </c>
      <c r="D49">
        <v>172.88399999999999</v>
      </c>
      <c r="E49" s="3">
        <v>175.69512195121951</v>
      </c>
      <c r="F49">
        <v>98.27</v>
      </c>
      <c r="G49" s="3">
        <v>99.867886178861795</v>
      </c>
      <c r="H49" s="9" t="s">
        <v>99</v>
      </c>
    </row>
    <row r="50" spans="3:8">
      <c r="C50">
        <v>42</v>
      </c>
      <c r="D50">
        <v>317.27699999999999</v>
      </c>
      <c r="E50" s="3">
        <v>322.4359756097561</v>
      </c>
      <c r="F50">
        <v>132.61199999999999</v>
      </c>
      <c r="G50" s="3">
        <v>134.76829268292684</v>
      </c>
      <c r="H50" s="9" t="s">
        <v>99</v>
      </c>
    </row>
    <row r="51" spans="3:8">
      <c r="C51">
        <v>43</v>
      </c>
      <c r="D51">
        <v>344.07299999999998</v>
      </c>
      <c r="E51" s="3">
        <v>349.66768292682929</v>
      </c>
      <c r="F51">
        <v>215.102</v>
      </c>
      <c r="G51" s="3">
        <v>218.59959349593498</v>
      </c>
      <c r="H51" s="9" t="s">
        <v>99</v>
      </c>
    </row>
    <row r="52" spans="3:8">
      <c r="C52">
        <v>44</v>
      </c>
      <c r="D52">
        <v>125.929</v>
      </c>
      <c r="E52" s="3">
        <v>127.97662601626017</v>
      </c>
      <c r="F52">
        <v>109.49</v>
      </c>
      <c r="G52" s="3">
        <v>111.27032520325204</v>
      </c>
      <c r="H52" t="s">
        <v>100</v>
      </c>
    </row>
    <row r="53" spans="3:8">
      <c r="C53">
        <v>45</v>
      </c>
      <c r="D53">
        <v>136.36000000000001</v>
      </c>
      <c r="E53" s="3">
        <v>138.57723577235774</v>
      </c>
      <c r="F53">
        <v>93.048000000000002</v>
      </c>
      <c r="G53" s="3">
        <v>94.560975609756113</v>
      </c>
      <c r="H53" s="9" t="s">
        <v>99</v>
      </c>
    </row>
    <row r="54" spans="3:8">
      <c r="C54">
        <v>46</v>
      </c>
      <c r="D54">
        <v>342.18400000000003</v>
      </c>
      <c r="E54" s="3">
        <v>347.74796747967486</v>
      </c>
      <c r="F54">
        <v>331.30700000000002</v>
      </c>
      <c r="G54" s="3">
        <v>336.69410569105696</v>
      </c>
      <c r="H54" t="s">
        <v>100</v>
      </c>
    </row>
    <row r="55" spans="3:8">
      <c r="C55">
        <v>47</v>
      </c>
      <c r="D55">
        <v>140.45599999999999</v>
      </c>
      <c r="E55" s="3">
        <v>142.73983739837399</v>
      </c>
      <c r="F55">
        <v>78.745999999999995</v>
      </c>
      <c r="G55" s="3">
        <v>80.026422764227647</v>
      </c>
      <c r="H55" s="9" t="s">
        <v>87</v>
      </c>
    </row>
    <row r="56" spans="3:8">
      <c r="C56">
        <v>48</v>
      </c>
      <c r="D56">
        <v>145.12100000000001</v>
      </c>
      <c r="E56" s="3">
        <v>147.48069105691059</v>
      </c>
      <c r="F56">
        <v>90.25</v>
      </c>
      <c r="G56" s="3">
        <v>91.717479674796749</v>
      </c>
      <c r="H56" s="9" t="s">
        <v>87</v>
      </c>
    </row>
    <row r="57" spans="3:8">
      <c r="C57">
        <v>49</v>
      </c>
      <c r="D57">
        <v>198.65799999999999</v>
      </c>
      <c r="E57" s="3">
        <v>201.88821138211384</v>
      </c>
      <c r="F57">
        <v>168.13399999999999</v>
      </c>
      <c r="G57" s="3">
        <v>170.8678861788618</v>
      </c>
      <c r="H57" s="9" t="s">
        <v>87</v>
      </c>
    </row>
    <row r="58" spans="3:8">
      <c r="C58">
        <v>50</v>
      </c>
      <c r="D58">
        <v>255.071</v>
      </c>
      <c r="E58" s="3">
        <v>259.21849593495938</v>
      </c>
      <c r="F58">
        <v>195.09200000000001</v>
      </c>
      <c r="G58" s="3">
        <v>198.26422764227647</v>
      </c>
      <c r="H58" s="9" t="s">
        <v>87</v>
      </c>
    </row>
    <row r="59" spans="3:8">
      <c r="C59">
        <v>51</v>
      </c>
      <c r="D59">
        <v>201.358</v>
      </c>
      <c r="E59" s="3">
        <v>204.63211382113823</v>
      </c>
      <c r="F59">
        <v>186.21799999999999</v>
      </c>
      <c r="G59" s="3">
        <v>189.2459349593496</v>
      </c>
      <c r="H59" s="9" t="s">
        <v>87</v>
      </c>
    </row>
    <row r="60" spans="3:8">
      <c r="C60">
        <v>52</v>
      </c>
      <c r="D60">
        <v>260.77600000000001</v>
      </c>
      <c r="E60" s="3">
        <v>265.01626016260167</v>
      </c>
      <c r="F60">
        <v>152.76499999999999</v>
      </c>
      <c r="G60" s="3">
        <v>155.2489837398374</v>
      </c>
      <c r="H60" s="9" t="s">
        <v>87</v>
      </c>
    </row>
    <row r="61" spans="3:8">
      <c r="C61">
        <v>53</v>
      </c>
      <c r="D61">
        <v>175.57</v>
      </c>
      <c r="E61" s="3">
        <v>178.42479674796749</v>
      </c>
      <c r="F61">
        <v>158.405</v>
      </c>
      <c r="G61" s="3">
        <v>160.98069105691059</v>
      </c>
      <c r="H61" s="9" t="s">
        <v>87</v>
      </c>
    </row>
    <row r="62" spans="3:8">
      <c r="C62">
        <v>54</v>
      </c>
      <c r="D62">
        <v>240.01900000000001</v>
      </c>
      <c r="E62" s="3">
        <v>243.92174796747969</v>
      </c>
      <c r="F62">
        <v>147.489</v>
      </c>
      <c r="G62" s="3">
        <v>149.88719512195124</v>
      </c>
      <c r="H62" s="9" t="s">
        <v>87</v>
      </c>
    </row>
    <row r="63" spans="3:8">
      <c r="C63">
        <v>55</v>
      </c>
      <c r="D63">
        <v>144</v>
      </c>
      <c r="E63" s="3">
        <v>146.34146341463415</v>
      </c>
      <c r="F63">
        <v>141.12799999999999</v>
      </c>
      <c r="G63" s="3">
        <v>143.42276422764226</v>
      </c>
      <c r="H63" s="9" t="s">
        <v>87</v>
      </c>
    </row>
    <row r="64" spans="3:8">
      <c r="C64">
        <v>56</v>
      </c>
      <c r="D64">
        <v>123.911</v>
      </c>
      <c r="E64" s="3">
        <v>125.92581300813009</v>
      </c>
      <c r="F64">
        <v>117.154</v>
      </c>
      <c r="G64" s="3">
        <v>119.0589430894309</v>
      </c>
      <c r="H64" s="9" t="s">
        <v>87</v>
      </c>
    </row>
    <row r="65" spans="3:8">
      <c r="C65">
        <v>57</v>
      </c>
      <c r="D65">
        <v>177</v>
      </c>
      <c r="E65" s="3">
        <v>179.87804878048783</v>
      </c>
      <c r="F65">
        <v>174.02600000000001</v>
      </c>
      <c r="G65" s="3">
        <v>176.85569105691059</v>
      </c>
      <c r="H65" s="9" t="s">
        <v>87</v>
      </c>
    </row>
    <row r="66" spans="3:8">
      <c r="C66">
        <v>58</v>
      </c>
      <c r="D66">
        <v>165</v>
      </c>
      <c r="E66" s="3">
        <v>167.6829268292683</v>
      </c>
      <c r="F66">
        <v>150.03</v>
      </c>
      <c r="G66" s="3">
        <v>152.46951219512198</v>
      </c>
      <c r="H66" s="9" t="s">
        <v>87</v>
      </c>
    </row>
    <row r="67" spans="3:8">
      <c r="C67">
        <v>59</v>
      </c>
      <c r="D67">
        <v>240.01900000000001</v>
      </c>
      <c r="E67" s="3">
        <v>243.92174796747969</v>
      </c>
      <c r="F67">
        <v>147</v>
      </c>
      <c r="G67" s="3">
        <v>149.39024390243904</v>
      </c>
      <c r="H67" s="9" t="s">
        <v>87</v>
      </c>
    </row>
    <row r="68" spans="3:8">
      <c r="C68">
        <v>60</v>
      </c>
      <c r="D68">
        <v>338.16300000000001</v>
      </c>
      <c r="E68" s="3">
        <v>343.66158536585368</v>
      </c>
      <c r="F68">
        <v>248.566</v>
      </c>
      <c r="G68" s="3">
        <v>252.60772357723579</v>
      </c>
      <c r="H68" s="9" t="s">
        <v>87</v>
      </c>
    </row>
    <row r="69" spans="3:8">
      <c r="C69">
        <v>61</v>
      </c>
      <c r="D69">
        <v>217.86699999999999</v>
      </c>
      <c r="E69" s="3">
        <v>221.40955284552845</v>
      </c>
      <c r="F69">
        <v>126.036</v>
      </c>
      <c r="G69" s="3">
        <v>128.08536585365854</v>
      </c>
      <c r="H69" s="9" t="s">
        <v>87</v>
      </c>
    </row>
    <row r="70" spans="3:8">
      <c r="C70">
        <v>62</v>
      </c>
      <c r="D70">
        <v>337.35</v>
      </c>
      <c r="E70" s="3">
        <v>342.83536585365857</v>
      </c>
      <c r="F70">
        <v>185.15100000000001</v>
      </c>
      <c r="G70" s="3">
        <v>188.16158536585368</v>
      </c>
      <c r="H70" t="s">
        <v>79</v>
      </c>
    </row>
    <row r="71" spans="3:8">
      <c r="C71">
        <v>63</v>
      </c>
      <c r="D71">
        <v>264.71499999999997</v>
      </c>
      <c r="E71" s="3">
        <v>269.01930894308941</v>
      </c>
      <c r="F71">
        <v>249.578</v>
      </c>
      <c r="G71" s="3">
        <v>253.63617886178864</v>
      </c>
      <c r="H71" t="s">
        <v>79</v>
      </c>
    </row>
    <row r="72" spans="3:8">
      <c r="C72">
        <v>64</v>
      </c>
      <c r="D72">
        <v>246.91</v>
      </c>
      <c r="E72" s="3">
        <v>250.92479674796749</v>
      </c>
      <c r="F72">
        <v>173.404</v>
      </c>
      <c r="G72" s="3">
        <v>176.22357723577238</v>
      </c>
      <c r="H72" s="9" t="s">
        <v>87</v>
      </c>
    </row>
    <row r="73" spans="3:8">
      <c r="C73">
        <v>65</v>
      </c>
      <c r="D73">
        <v>349.40699999999998</v>
      </c>
      <c r="E73" s="3">
        <v>355.08841463414637</v>
      </c>
      <c r="F73">
        <v>123.03700000000001</v>
      </c>
      <c r="G73" s="3">
        <v>125.03760162601628</v>
      </c>
      <c r="H73" s="9" t="s">
        <v>87</v>
      </c>
    </row>
    <row r="74" spans="3:8">
      <c r="C74">
        <v>66</v>
      </c>
      <c r="D74">
        <v>181.32</v>
      </c>
      <c r="E74" s="3">
        <v>184.26829268292684</v>
      </c>
      <c r="F74">
        <v>78.745999999999995</v>
      </c>
      <c r="G74" s="3">
        <v>80.026422764227647</v>
      </c>
      <c r="H74" s="9" t="s">
        <v>87</v>
      </c>
    </row>
    <row r="75" spans="3:8">
      <c r="C75">
        <v>67</v>
      </c>
      <c r="D75">
        <v>158.31899999999999</v>
      </c>
      <c r="E75" s="3">
        <v>160.89329268292684</v>
      </c>
      <c r="F75">
        <v>99.724999999999994</v>
      </c>
      <c r="G75" s="3">
        <v>101.34654471544715</v>
      </c>
      <c r="H75" s="9" t="s">
        <v>87</v>
      </c>
    </row>
    <row r="76" spans="3:8">
      <c r="C76">
        <v>68</v>
      </c>
      <c r="D76">
        <v>153.792</v>
      </c>
      <c r="E76" s="3">
        <v>156.29268292682929</v>
      </c>
      <c r="F76">
        <v>80.777000000000001</v>
      </c>
      <c r="G76" s="3">
        <v>82.090447154471548</v>
      </c>
      <c r="H76" s="9" t="s">
        <v>87</v>
      </c>
    </row>
    <row r="77" spans="3:8">
      <c r="C77">
        <v>69</v>
      </c>
      <c r="D77">
        <v>243.90600000000001</v>
      </c>
      <c r="E77" s="3">
        <v>247.87195121951223</v>
      </c>
      <c r="F77">
        <v>193.05199999999999</v>
      </c>
      <c r="G77" s="3">
        <v>196.1910569105691</v>
      </c>
      <c r="H77" s="9" t="s">
        <v>87</v>
      </c>
    </row>
    <row r="78" spans="3:8">
      <c r="C78">
        <v>70</v>
      </c>
      <c r="D78">
        <v>213.33799999999999</v>
      </c>
      <c r="E78" s="3">
        <v>216.8069105691057</v>
      </c>
      <c r="F78">
        <v>152.322</v>
      </c>
      <c r="G78" s="3">
        <v>154.79878048780489</v>
      </c>
      <c r="H78" s="9" t="s">
        <v>87</v>
      </c>
    </row>
    <row r="79" spans="3:8">
      <c r="C79">
        <v>71</v>
      </c>
      <c r="D79">
        <v>147.733</v>
      </c>
      <c r="E79" s="3">
        <v>150.13516260162604</v>
      </c>
      <c r="F79">
        <v>141.03200000000001</v>
      </c>
      <c r="G79" s="3">
        <v>143.32520325203254</v>
      </c>
      <c r="H79" s="9" t="s">
        <v>87</v>
      </c>
    </row>
    <row r="80" spans="3:8">
      <c r="C80">
        <v>72</v>
      </c>
      <c r="D80">
        <v>282.20699999999999</v>
      </c>
      <c r="E80" s="3">
        <v>286.79573170731709</v>
      </c>
      <c r="F80">
        <v>275.80399999999997</v>
      </c>
      <c r="G80" s="3">
        <v>280.28861788617888</v>
      </c>
      <c r="H80" s="9" t="s">
        <v>87</v>
      </c>
    </row>
    <row r="81" spans="3:8">
      <c r="C81">
        <v>73</v>
      </c>
      <c r="D81">
        <v>396.65899999999999</v>
      </c>
      <c r="E81" s="3">
        <v>403.10873983739839</v>
      </c>
      <c r="F81">
        <v>240.786</v>
      </c>
      <c r="G81" s="3">
        <v>244.70121951219514</v>
      </c>
      <c r="H81" s="9" t="s">
        <v>87</v>
      </c>
    </row>
    <row r="82" spans="3:8">
      <c r="C82">
        <v>74</v>
      </c>
      <c r="D82">
        <v>382.32100000000003</v>
      </c>
      <c r="E82" s="3">
        <v>388.53760162601634</v>
      </c>
      <c r="F82">
        <v>262.39299999999997</v>
      </c>
      <c r="G82" s="3">
        <v>266.65955284552842</v>
      </c>
      <c r="H82" s="9" t="s">
        <v>87</v>
      </c>
    </row>
    <row r="83" spans="3:8">
      <c r="C83">
        <v>75</v>
      </c>
      <c r="D83">
        <v>377.976</v>
      </c>
      <c r="E83" s="3">
        <v>384.12195121951225</v>
      </c>
      <c r="F83">
        <v>203.82300000000001</v>
      </c>
      <c r="G83" s="3">
        <v>207.13719512195124</v>
      </c>
      <c r="H83" s="9" t="s">
        <v>87</v>
      </c>
    </row>
    <row r="84" spans="3:8">
      <c r="C84">
        <v>76</v>
      </c>
      <c r="D84">
        <v>229.26</v>
      </c>
      <c r="E84" s="3">
        <v>232.98780487804879</v>
      </c>
      <c r="F84">
        <v>93.048000000000002</v>
      </c>
      <c r="G84" s="3">
        <v>94.560975609756113</v>
      </c>
      <c r="H84" s="9" t="s">
        <v>87</v>
      </c>
    </row>
    <row r="85" spans="3:8">
      <c r="C85">
        <v>77</v>
      </c>
      <c r="D85">
        <v>208.01900000000001</v>
      </c>
      <c r="E85" s="3">
        <v>211.40142276422768</v>
      </c>
      <c r="F85">
        <v>196.38</v>
      </c>
      <c r="G85" s="3">
        <v>199.57317073170734</v>
      </c>
      <c r="H85" s="9" t="s">
        <v>87</v>
      </c>
    </row>
    <row r="86" spans="3:8">
      <c r="C86">
        <v>78</v>
      </c>
      <c r="D86">
        <v>183.88300000000001</v>
      </c>
      <c r="E86" s="3">
        <v>186.87296747967483</v>
      </c>
      <c r="F86">
        <v>109.202</v>
      </c>
      <c r="G86" s="3">
        <v>110.97764227642277</v>
      </c>
      <c r="H86" s="9" t="s">
        <v>87</v>
      </c>
    </row>
    <row r="87" spans="3:8">
      <c r="C87">
        <v>79</v>
      </c>
      <c r="D87">
        <v>201.804</v>
      </c>
      <c r="E87" s="3">
        <v>205.08536585365854</v>
      </c>
      <c r="F87">
        <v>186.50700000000001</v>
      </c>
      <c r="G87" s="3">
        <v>189.53963414634148</v>
      </c>
      <c r="H87" s="9" t="s">
        <v>87</v>
      </c>
    </row>
    <row r="88" spans="3:8">
      <c r="C88">
        <v>80</v>
      </c>
      <c r="D88">
        <v>181.59299999999999</v>
      </c>
      <c r="E88" s="3">
        <v>184.54573170731709</v>
      </c>
      <c r="F88">
        <v>129.97300000000001</v>
      </c>
      <c r="G88" s="3">
        <v>132.08638211382117</v>
      </c>
      <c r="H88" s="9" t="s">
        <v>87</v>
      </c>
    </row>
    <row r="89" spans="3:8">
      <c r="C89">
        <v>81</v>
      </c>
      <c r="D89">
        <v>246.65799999999999</v>
      </c>
      <c r="E89" s="3">
        <v>250.66869918699189</v>
      </c>
      <c r="F89">
        <v>167.35599999999999</v>
      </c>
      <c r="G89" s="3">
        <v>170.07723577235774</v>
      </c>
      <c r="H89" s="9" t="s">
        <v>99</v>
      </c>
    </row>
    <row r="90" spans="3:8">
      <c r="C90">
        <v>82</v>
      </c>
      <c r="D90">
        <v>284.79300000000001</v>
      </c>
      <c r="E90" s="3">
        <v>289.42378048780489</v>
      </c>
      <c r="F90">
        <v>244.20099999999999</v>
      </c>
      <c r="G90" s="3">
        <v>248.17174796747969</v>
      </c>
      <c r="H90" t="s">
        <v>100</v>
      </c>
    </row>
    <row r="91" spans="3:8">
      <c r="C91">
        <v>83</v>
      </c>
      <c r="D91">
        <v>546.29700000000003</v>
      </c>
      <c r="E91" s="3">
        <v>555.17987804878055</v>
      </c>
      <c r="F91">
        <v>328.702</v>
      </c>
      <c r="G91" s="3">
        <v>334.04674796747969</v>
      </c>
      <c r="H91" s="9" t="s">
        <v>87</v>
      </c>
    </row>
    <row r="92" spans="3:8">
      <c r="C92">
        <v>84</v>
      </c>
      <c r="D92">
        <v>229.59299999999999</v>
      </c>
      <c r="E92" s="3">
        <v>233.32621951219514</v>
      </c>
      <c r="F92">
        <v>170.39400000000001</v>
      </c>
      <c r="G92" s="3">
        <v>173.16463414634148</v>
      </c>
      <c r="H92" s="9" t="s">
        <v>87</v>
      </c>
    </row>
    <row r="93" spans="3:8">
      <c r="C93">
        <v>85</v>
      </c>
      <c r="D93">
        <v>192.77199999999999</v>
      </c>
      <c r="E93" s="3">
        <v>195.90650406504065</v>
      </c>
      <c r="F93">
        <v>94.201999999999998</v>
      </c>
      <c r="G93" s="3">
        <v>95.733739837398375</v>
      </c>
      <c r="H93" s="9" t="s">
        <v>87</v>
      </c>
    </row>
    <row r="94" spans="3:8">
      <c r="C94">
        <v>86</v>
      </c>
      <c r="D94">
        <v>232.26300000000001</v>
      </c>
      <c r="E94" s="3">
        <v>236.03963414634148</v>
      </c>
      <c r="F94">
        <v>151.34399999999999</v>
      </c>
      <c r="G94" s="3">
        <v>153.80487804878049</v>
      </c>
      <c r="H94" s="9" t="s">
        <v>87</v>
      </c>
    </row>
    <row r="95" spans="3:8">
      <c r="C95">
        <v>87</v>
      </c>
      <c r="D95">
        <v>282.01600000000002</v>
      </c>
      <c r="E95" s="3">
        <v>286.60162601626018</v>
      </c>
      <c r="F95">
        <v>279.01600000000002</v>
      </c>
      <c r="G95" s="3">
        <v>283.55284552845535</v>
      </c>
      <c r="H95" s="9" t="s">
        <v>87</v>
      </c>
    </row>
    <row r="96" spans="3:8">
      <c r="C96">
        <v>88</v>
      </c>
      <c r="D96">
        <v>202.09399999999999</v>
      </c>
      <c r="E96" s="3">
        <v>205.38008130081303</v>
      </c>
      <c r="F96">
        <v>196.12799999999999</v>
      </c>
      <c r="G96" s="3">
        <v>199.3170731707317</v>
      </c>
      <c r="H96" s="9" t="s">
        <v>87</v>
      </c>
    </row>
    <row r="97" spans="3:8">
      <c r="C97">
        <v>89</v>
      </c>
      <c r="D97">
        <v>155.76900000000001</v>
      </c>
      <c r="E97" s="3">
        <v>158.30182926829269</v>
      </c>
      <c r="F97">
        <v>132.54400000000001</v>
      </c>
      <c r="G97" s="3">
        <v>134.69918699186994</v>
      </c>
      <c r="H97" s="9" t="s">
        <v>87</v>
      </c>
    </row>
    <row r="98" spans="3:8">
      <c r="C98">
        <v>90</v>
      </c>
      <c r="D98">
        <v>136.953</v>
      </c>
      <c r="E98" s="3">
        <v>139.17987804878049</v>
      </c>
      <c r="F98">
        <v>80.777000000000001</v>
      </c>
      <c r="G98" s="3">
        <v>82.090447154471548</v>
      </c>
      <c r="H98" s="9" t="s">
        <v>87</v>
      </c>
    </row>
    <row r="99" spans="3:8">
      <c r="C99">
        <v>91</v>
      </c>
      <c r="D99">
        <v>254.78800000000001</v>
      </c>
      <c r="E99" s="3">
        <v>258.9308943089431</v>
      </c>
      <c r="F99">
        <v>141.03200000000001</v>
      </c>
      <c r="G99" s="3">
        <v>143.32520325203254</v>
      </c>
      <c r="H99" s="9" t="s">
        <v>87</v>
      </c>
    </row>
    <row r="100" spans="3:8">
      <c r="C100">
        <v>92</v>
      </c>
      <c r="D100">
        <v>183.88300000000001</v>
      </c>
      <c r="E100" s="3">
        <v>186.87296747967483</v>
      </c>
      <c r="F100">
        <v>90.448999999999998</v>
      </c>
      <c r="G100" s="3">
        <v>91.919715447154474</v>
      </c>
      <c r="H100" s="9" t="s">
        <v>87</v>
      </c>
    </row>
    <row r="101" spans="3:8">
      <c r="C101">
        <v>93</v>
      </c>
      <c r="D101">
        <v>150</v>
      </c>
      <c r="E101" s="3">
        <v>152.43902439024393</v>
      </c>
      <c r="F101">
        <v>138.03299999999999</v>
      </c>
      <c r="G101" s="3">
        <v>140.27743902439025</v>
      </c>
      <c r="H101" s="9" t="s">
        <v>87</v>
      </c>
    </row>
    <row r="102" spans="3:8">
      <c r="C102">
        <v>94</v>
      </c>
      <c r="D102">
        <v>282.57400000000001</v>
      </c>
      <c r="E102" s="3">
        <v>287.16869918699189</v>
      </c>
      <c r="F102">
        <v>198.09100000000001</v>
      </c>
      <c r="G102" s="3">
        <v>201.31199186991873</v>
      </c>
      <c r="H102" s="9" t="s">
        <v>87</v>
      </c>
    </row>
    <row r="103" spans="3:8">
      <c r="C103">
        <v>95</v>
      </c>
      <c r="D103">
        <v>192.27500000000001</v>
      </c>
      <c r="E103" s="3">
        <v>195.40142276422768</v>
      </c>
      <c r="F103">
        <v>172.285</v>
      </c>
      <c r="G103" s="3">
        <v>175.08638211382114</v>
      </c>
      <c r="H103" s="9" t="s">
        <v>87</v>
      </c>
    </row>
    <row r="104" spans="3:8">
      <c r="C104">
        <v>96</v>
      </c>
      <c r="D104">
        <v>171.42099999999999</v>
      </c>
      <c r="E104" s="3">
        <v>174.20833333333334</v>
      </c>
      <c r="F104">
        <v>141.12799999999999</v>
      </c>
      <c r="G104" s="3">
        <v>143.42276422764226</v>
      </c>
      <c r="H104" s="9" t="s">
        <v>87</v>
      </c>
    </row>
    <row r="105" spans="3:8">
      <c r="C105">
        <v>97</v>
      </c>
      <c r="D105">
        <v>255.28200000000001</v>
      </c>
      <c r="E105" s="3">
        <v>259.43292682926835</v>
      </c>
      <c r="F105">
        <v>120</v>
      </c>
      <c r="G105" s="3">
        <v>121.95121951219514</v>
      </c>
      <c r="H105" s="9" t="s">
        <v>99</v>
      </c>
    </row>
    <row r="106" spans="3:8">
      <c r="C106">
        <v>98</v>
      </c>
      <c r="D106">
        <v>186.72399999999999</v>
      </c>
      <c r="E106" s="3">
        <v>189.76016260162604</v>
      </c>
      <c r="F106">
        <v>95.483000000000004</v>
      </c>
      <c r="G106" s="3">
        <v>97.035569105691067</v>
      </c>
      <c r="H106" s="9" t="s">
        <v>87</v>
      </c>
    </row>
    <row r="107" spans="3:8">
      <c r="C107">
        <v>99</v>
      </c>
      <c r="D107">
        <v>317.27699999999999</v>
      </c>
      <c r="E107" s="3">
        <v>322.4359756097561</v>
      </c>
      <c r="F107">
        <v>213.928</v>
      </c>
      <c r="G107" s="3">
        <v>217.40650406504068</v>
      </c>
      <c r="H107" s="9" t="s">
        <v>87</v>
      </c>
    </row>
    <row r="108" spans="3:8">
      <c r="C108">
        <v>100</v>
      </c>
      <c r="D108">
        <v>173.11799999999999</v>
      </c>
      <c r="E108" s="3">
        <v>175.9329268292683</v>
      </c>
      <c r="F108">
        <v>97.948999999999998</v>
      </c>
      <c r="G108" s="3">
        <v>99.541666666666671</v>
      </c>
      <c r="H108" s="9" t="s">
        <v>87</v>
      </c>
    </row>
    <row r="109" spans="3:8">
      <c r="C109">
        <v>101</v>
      </c>
      <c r="D109">
        <v>141</v>
      </c>
      <c r="E109" s="3">
        <v>143.29268292682929</v>
      </c>
      <c r="F109">
        <v>129</v>
      </c>
      <c r="G109" s="3">
        <v>131.09756097560978</v>
      </c>
      <c r="H109" s="9" t="s">
        <v>87</v>
      </c>
    </row>
    <row r="110" spans="3:8">
      <c r="C110">
        <v>102</v>
      </c>
      <c r="D110">
        <v>401.42899999999997</v>
      </c>
      <c r="E110" s="3">
        <v>407.95630081300811</v>
      </c>
      <c r="F110">
        <v>229.965</v>
      </c>
      <c r="G110" s="3">
        <v>233.70426829268294</v>
      </c>
      <c r="H110" s="9" t="s">
        <v>87</v>
      </c>
    </row>
    <row r="111" spans="3:8">
      <c r="C111">
        <v>103</v>
      </c>
      <c r="D111">
        <v>150.03</v>
      </c>
      <c r="E111" s="3">
        <v>152.46951219512198</v>
      </c>
      <c r="F111">
        <v>93.433999999999997</v>
      </c>
      <c r="G111" s="3">
        <v>94.953252032520325</v>
      </c>
      <c r="H111" s="9" t="s">
        <v>87</v>
      </c>
    </row>
    <row r="112" spans="3:8">
      <c r="C112">
        <v>104</v>
      </c>
      <c r="D112">
        <v>156.029</v>
      </c>
      <c r="E112" s="3">
        <v>158.5660569105691</v>
      </c>
      <c r="F112">
        <v>117.038</v>
      </c>
      <c r="G112" s="3">
        <v>118.94105691056912</v>
      </c>
      <c r="H112" s="9" t="s">
        <v>87</v>
      </c>
    </row>
    <row r="113" spans="3:8">
      <c r="C113">
        <v>105</v>
      </c>
      <c r="D113">
        <v>296.28699999999998</v>
      </c>
      <c r="E113" s="3">
        <v>301.10467479674799</v>
      </c>
      <c r="F113">
        <v>133.154</v>
      </c>
      <c r="G113" s="3">
        <v>135.3191056910569</v>
      </c>
      <c r="H113" s="9" t="s">
        <v>87</v>
      </c>
    </row>
    <row r="114" spans="3:8">
      <c r="C114">
        <v>106</v>
      </c>
      <c r="D114">
        <v>288.01600000000002</v>
      </c>
      <c r="E114" s="3">
        <v>292.69918699186996</v>
      </c>
      <c r="F114">
        <v>159</v>
      </c>
      <c r="G114" s="3">
        <v>161.58536585365854</v>
      </c>
      <c r="H114" s="9" t="s">
        <v>99</v>
      </c>
    </row>
    <row r="115" spans="3:8">
      <c r="C115">
        <v>107</v>
      </c>
      <c r="D115">
        <v>294.01499999999999</v>
      </c>
      <c r="E115" s="3">
        <v>298.79573170731709</v>
      </c>
      <c r="F115">
        <v>156.11500000000001</v>
      </c>
      <c r="G115" s="3">
        <v>158.65345528455288</v>
      </c>
      <c r="H115" s="9" t="s">
        <v>99</v>
      </c>
    </row>
    <row r="116" spans="3:8">
      <c r="C116">
        <v>108</v>
      </c>
      <c r="D116">
        <v>288</v>
      </c>
      <c r="E116" s="3">
        <v>292.6829268292683</v>
      </c>
      <c r="F116">
        <v>176.08199999999999</v>
      </c>
      <c r="G116" s="3">
        <v>178.94512195121953</v>
      </c>
      <c r="H116" s="9" t="s">
        <v>87</v>
      </c>
    </row>
    <row r="117" spans="3:8">
      <c r="C117">
        <v>109</v>
      </c>
      <c r="D117">
        <v>123.146</v>
      </c>
      <c r="E117" s="3">
        <v>125.14837398373984</v>
      </c>
      <c r="F117">
        <v>120.15</v>
      </c>
      <c r="G117" s="3">
        <v>122.10365853658539</v>
      </c>
      <c r="H117" s="9" t="s">
        <v>87</v>
      </c>
    </row>
    <row r="118" spans="3:8">
      <c r="C118">
        <v>110</v>
      </c>
      <c r="D118">
        <v>327.12400000000002</v>
      </c>
      <c r="E118" s="3">
        <v>332.44308943089436</v>
      </c>
      <c r="F118">
        <v>235.34200000000001</v>
      </c>
      <c r="G118" s="3">
        <v>239.16869918699192</v>
      </c>
      <c r="H118" s="9" t="s">
        <v>87</v>
      </c>
    </row>
    <row r="119" spans="3:8">
      <c r="C119">
        <v>111</v>
      </c>
      <c r="D119">
        <v>201.358</v>
      </c>
      <c r="E119" s="3">
        <v>204.63211382113823</v>
      </c>
      <c r="F119">
        <v>142.524</v>
      </c>
      <c r="G119" s="3">
        <v>144.84146341463415</v>
      </c>
      <c r="H119" s="9" t="s">
        <v>87</v>
      </c>
    </row>
    <row r="120" spans="3:8">
      <c r="C120">
        <v>112</v>
      </c>
      <c r="D120">
        <v>159</v>
      </c>
      <c r="E120" s="3">
        <v>161.58536585365854</v>
      </c>
      <c r="F120">
        <v>120</v>
      </c>
      <c r="G120" s="3">
        <v>121.95121951219514</v>
      </c>
      <c r="H120" s="9" t="s">
        <v>87</v>
      </c>
    </row>
    <row r="121" spans="3:8">
      <c r="C121">
        <v>113</v>
      </c>
      <c r="D121">
        <v>231.7</v>
      </c>
      <c r="E121" s="3">
        <v>235.46747967479675</v>
      </c>
      <c r="F121">
        <v>174.10300000000001</v>
      </c>
      <c r="G121" s="3">
        <v>176.93394308943093</v>
      </c>
      <c r="H121" s="9" t="s">
        <v>87</v>
      </c>
    </row>
    <row r="122" spans="3:8">
      <c r="C122">
        <v>114</v>
      </c>
      <c r="D122">
        <v>78.745999999999995</v>
      </c>
      <c r="E122" s="3">
        <v>80.026422764227647</v>
      </c>
      <c r="F122">
        <v>71.561000000000007</v>
      </c>
      <c r="G122" s="3">
        <v>72.724593495934968</v>
      </c>
      <c r="H122" s="9" t="s">
        <v>87</v>
      </c>
    </row>
    <row r="123" spans="3:8">
      <c r="C123">
        <v>115</v>
      </c>
      <c r="D123">
        <v>400.62099999999998</v>
      </c>
      <c r="E123" s="3">
        <v>407.13516260162601</v>
      </c>
      <c r="F123">
        <v>261.964</v>
      </c>
      <c r="G123" s="3">
        <v>266.22357723577238</v>
      </c>
      <c r="H123" s="9" t="s">
        <v>87</v>
      </c>
    </row>
    <row r="124" spans="3:8">
      <c r="C124">
        <v>116</v>
      </c>
      <c r="D124">
        <v>266.59500000000003</v>
      </c>
      <c r="E124" s="3">
        <v>270.92987804878055</v>
      </c>
      <c r="F124">
        <v>147.58000000000001</v>
      </c>
      <c r="G124" s="3">
        <v>149.97967479674799</v>
      </c>
      <c r="H124" s="9" t="s">
        <v>87</v>
      </c>
    </row>
    <row r="125" spans="3:8">
      <c r="C125">
        <v>117</v>
      </c>
      <c r="D125">
        <v>174.02600000000001</v>
      </c>
      <c r="E125" s="3">
        <v>176.85569105691059</v>
      </c>
      <c r="F125">
        <v>134.06299999999999</v>
      </c>
      <c r="G125" s="3">
        <v>136.2428861788618</v>
      </c>
      <c r="H125" s="9" t="s">
        <v>87</v>
      </c>
    </row>
    <row r="126" spans="3:8">
      <c r="C126">
        <v>118</v>
      </c>
      <c r="D126">
        <v>275.77199999999999</v>
      </c>
      <c r="E126" s="3">
        <v>280.2560975609756</v>
      </c>
      <c r="F126">
        <v>271.34699999999998</v>
      </c>
      <c r="G126" s="3">
        <v>275.75914634146341</v>
      </c>
      <c r="H126" s="9" t="s">
        <v>87</v>
      </c>
    </row>
    <row r="127" spans="3:8">
      <c r="C127">
        <v>119</v>
      </c>
      <c r="D127">
        <v>294.01499999999999</v>
      </c>
      <c r="E127" s="3">
        <v>298.79573170731709</v>
      </c>
      <c r="F127">
        <v>156.11500000000001</v>
      </c>
      <c r="G127" s="3">
        <v>158.65345528455288</v>
      </c>
      <c r="H127" s="9" t="s">
        <v>87</v>
      </c>
    </row>
    <row r="128" spans="3:8">
      <c r="C128">
        <v>120</v>
      </c>
      <c r="D128">
        <v>232.41800000000001</v>
      </c>
      <c r="E128" s="3">
        <v>236.19715447154474</v>
      </c>
      <c r="F128">
        <v>163.68600000000001</v>
      </c>
      <c r="G128" s="3">
        <v>166.34756097560978</v>
      </c>
      <c r="H128" s="9" t="s">
        <v>99</v>
      </c>
    </row>
    <row r="129" spans="3:8">
      <c r="C129">
        <v>121</v>
      </c>
      <c r="D129">
        <v>99.408000000000001</v>
      </c>
      <c r="E129" s="3">
        <v>101.02439024390245</v>
      </c>
      <c r="F129">
        <v>75.537999999999997</v>
      </c>
      <c r="G129" s="3">
        <v>76.766260162601625</v>
      </c>
      <c r="H129" s="9" t="s">
        <v>99</v>
      </c>
    </row>
    <row r="130" spans="3:8">
      <c r="C130">
        <v>122</v>
      </c>
      <c r="D130">
        <v>246.018</v>
      </c>
      <c r="E130" s="3">
        <v>250.01829268292684</v>
      </c>
      <c r="F130">
        <v>144.125</v>
      </c>
      <c r="G130" s="3">
        <v>146.46849593495935</v>
      </c>
      <c r="H130" s="9" t="s">
        <v>99</v>
      </c>
    </row>
    <row r="131" spans="3:8">
      <c r="C131">
        <v>123</v>
      </c>
      <c r="D131">
        <v>147.489</v>
      </c>
      <c r="E131" s="3">
        <v>149.88719512195124</v>
      </c>
      <c r="F131">
        <v>103.57599999999999</v>
      </c>
      <c r="G131" s="3">
        <v>105.26016260162602</v>
      </c>
      <c r="H131" s="9" t="s">
        <v>87</v>
      </c>
    </row>
    <row r="132" spans="3:8">
      <c r="C132">
        <v>124</v>
      </c>
      <c r="D132">
        <v>225.499</v>
      </c>
      <c r="E132" s="3">
        <v>229.16565040650408</v>
      </c>
      <c r="F132">
        <v>177.102</v>
      </c>
      <c r="G132" s="3">
        <v>179.98170731707319</v>
      </c>
      <c r="H132" s="9" t="s">
        <v>87</v>
      </c>
    </row>
    <row r="133" spans="3:8">
      <c r="C133">
        <v>125</v>
      </c>
      <c r="D133">
        <v>169.06800000000001</v>
      </c>
      <c r="E133" s="3">
        <v>171.81707317073173</v>
      </c>
      <c r="F133">
        <v>134.46600000000001</v>
      </c>
      <c r="G133" s="3">
        <v>136.65243902439028</v>
      </c>
      <c r="H133" s="9" t="s">
        <v>87</v>
      </c>
    </row>
    <row r="134" spans="3:8">
      <c r="C134">
        <v>126</v>
      </c>
      <c r="D134">
        <v>285</v>
      </c>
      <c r="E134" s="3">
        <v>289.63414634146346</v>
      </c>
      <c r="F134">
        <v>207.93299999999999</v>
      </c>
      <c r="G134" s="3">
        <v>211.3140243902439</v>
      </c>
      <c r="H134" s="9" t="s">
        <v>87</v>
      </c>
    </row>
    <row r="135" spans="3:8">
      <c r="C135">
        <v>127</v>
      </c>
      <c r="D135">
        <v>216.02099999999999</v>
      </c>
      <c r="E135" s="3">
        <v>219.53353658536585</v>
      </c>
      <c r="F135">
        <v>138.52099999999999</v>
      </c>
      <c r="G135" s="3">
        <v>140.77337398373984</v>
      </c>
      <c r="H135" s="9" t="s">
        <v>87</v>
      </c>
    </row>
    <row r="136" spans="3:8">
      <c r="C136">
        <v>128</v>
      </c>
      <c r="D136">
        <v>228.65</v>
      </c>
      <c r="E136" s="3">
        <v>232.36788617886182</v>
      </c>
      <c r="F136">
        <v>115.11799999999999</v>
      </c>
      <c r="G136" s="3">
        <v>116.98983739837399</v>
      </c>
      <c r="H136" s="9" t="s">
        <v>87</v>
      </c>
    </row>
    <row r="137" spans="3:8">
      <c r="C137">
        <v>129</v>
      </c>
      <c r="D137">
        <v>153.11799999999999</v>
      </c>
      <c r="E137" s="3">
        <v>155.60772357723579</v>
      </c>
      <c r="F137">
        <v>138</v>
      </c>
      <c r="G137" s="3">
        <v>140.2439024390244</v>
      </c>
      <c r="H137" s="9" t="s">
        <v>87</v>
      </c>
    </row>
    <row r="138" spans="3:8">
      <c r="C138">
        <v>130</v>
      </c>
      <c r="D138">
        <v>384.42200000000003</v>
      </c>
      <c r="E138" s="3">
        <v>390.67276422764235</v>
      </c>
      <c r="F138">
        <v>231.01900000000001</v>
      </c>
      <c r="G138" s="3">
        <v>234.77540650406507</v>
      </c>
      <c r="H138" s="9" t="s">
        <v>87</v>
      </c>
    </row>
    <row r="139" spans="3:8">
      <c r="C139">
        <v>131</v>
      </c>
      <c r="D139">
        <v>216.18700000000001</v>
      </c>
      <c r="E139" s="3">
        <v>219.70223577235777</v>
      </c>
      <c r="F139">
        <v>186.869</v>
      </c>
      <c r="G139" s="3">
        <v>189.90752032520328</v>
      </c>
      <c r="H139" s="9" t="s">
        <v>87</v>
      </c>
    </row>
    <row r="140" spans="3:8">
      <c r="C140">
        <v>132</v>
      </c>
      <c r="D140">
        <v>194.28299999999999</v>
      </c>
      <c r="E140" s="3">
        <v>197.4420731707317</v>
      </c>
      <c r="F140">
        <v>129</v>
      </c>
      <c r="G140" s="3">
        <v>131.09756097560978</v>
      </c>
      <c r="H140" s="9" t="s">
        <v>87</v>
      </c>
    </row>
    <row r="141" spans="3:8">
      <c r="C141">
        <v>133</v>
      </c>
      <c r="D141">
        <v>209.44200000000001</v>
      </c>
      <c r="E141" s="3">
        <v>212.84756097560978</v>
      </c>
      <c r="F141">
        <v>97.673000000000002</v>
      </c>
      <c r="G141" s="3">
        <v>99.261178861788622</v>
      </c>
      <c r="H141" s="9" t="s">
        <v>87</v>
      </c>
    </row>
    <row r="142" spans="3:8">
      <c r="C142">
        <v>134</v>
      </c>
      <c r="D142">
        <v>254.27500000000001</v>
      </c>
      <c r="E142" s="3">
        <v>258.40955284552848</v>
      </c>
      <c r="F142">
        <v>174.542</v>
      </c>
      <c r="G142" s="3">
        <v>177.38008130081303</v>
      </c>
      <c r="H142" s="9" t="s">
        <v>99</v>
      </c>
    </row>
    <row r="143" spans="3:8">
      <c r="C143">
        <v>135</v>
      </c>
      <c r="D143">
        <v>168.02699999999999</v>
      </c>
      <c r="E143" s="3">
        <v>170.75914634146341</v>
      </c>
      <c r="F143">
        <v>148.49199999999999</v>
      </c>
      <c r="G143" s="3">
        <v>150.90650406504065</v>
      </c>
      <c r="H143" s="9" t="s">
        <v>100</v>
      </c>
    </row>
    <row r="144" spans="3:8">
      <c r="C144">
        <v>136</v>
      </c>
      <c r="D144">
        <v>101.203</v>
      </c>
      <c r="E144" s="3">
        <v>102.84857723577237</v>
      </c>
      <c r="F144">
        <v>67.081999999999994</v>
      </c>
      <c r="G144" s="3">
        <v>68.172764227642276</v>
      </c>
      <c r="H144" s="9" t="s">
        <v>87</v>
      </c>
    </row>
    <row r="145" spans="3:8">
      <c r="C145">
        <v>137</v>
      </c>
      <c r="D145">
        <v>316.42500000000001</v>
      </c>
      <c r="E145" s="3">
        <v>321.57012195121956</v>
      </c>
      <c r="F145">
        <v>199.47200000000001</v>
      </c>
      <c r="G145" s="3">
        <v>202.71544715447158</v>
      </c>
      <c r="H145" s="9" t="s">
        <v>87</v>
      </c>
    </row>
    <row r="146" spans="3:8">
      <c r="C146">
        <v>138</v>
      </c>
      <c r="D146">
        <v>145.12100000000001</v>
      </c>
      <c r="E146" s="3">
        <v>147.48069105691059</v>
      </c>
      <c r="F146">
        <v>120.03700000000001</v>
      </c>
      <c r="G146" s="3">
        <v>121.98882113821139</v>
      </c>
      <c r="H146" s="9" t="s">
        <v>87</v>
      </c>
    </row>
    <row r="147" spans="3:8">
      <c r="C147">
        <v>139</v>
      </c>
      <c r="D147">
        <v>256.53100000000001</v>
      </c>
      <c r="E147" s="3">
        <v>260.70223577235777</v>
      </c>
      <c r="F147">
        <v>182.18700000000001</v>
      </c>
      <c r="G147" s="3">
        <v>185.14939024390247</v>
      </c>
      <c r="H147" s="9" t="s">
        <v>87</v>
      </c>
    </row>
    <row r="148" spans="3:8">
      <c r="C148">
        <v>140</v>
      </c>
      <c r="D148">
        <v>307.774</v>
      </c>
      <c r="E148" s="3">
        <v>312.77845528455288</v>
      </c>
      <c r="F148">
        <v>217.32900000000001</v>
      </c>
      <c r="G148" s="3">
        <v>220.86280487804882</v>
      </c>
      <c r="H148" s="9" t="s">
        <v>87</v>
      </c>
    </row>
    <row r="149" spans="3:8">
      <c r="C149">
        <v>141</v>
      </c>
      <c r="D149">
        <v>244.035</v>
      </c>
      <c r="E149" s="3">
        <v>248.00304878048783</v>
      </c>
      <c r="F149">
        <v>135</v>
      </c>
      <c r="G149" s="3">
        <v>137.19512195121953</v>
      </c>
      <c r="H149" s="9" t="s">
        <v>87</v>
      </c>
    </row>
    <row r="150" spans="3:8">
      <c r="C150">
        <v>142</v>
      </c>
      <c r="D150">
        <v>202.09399999999999</v>
      </c>
      <c r="E150" s="3">
        <v>205.38008130081303</v>
      </c>
      <c r="F150">
        <v>198.023</v>
      </c>
      <c r="G150" s="3">
        <v>201.2428861788618</v>
      </c>
      <c r="H150" s="9" t="s">
        <v>87</v>
      </c>
    </row>
    <row r="151" spans="3:8">
      <c r="C151">
        <v>143</v>
      </c>
      <c r="D151">
        <v>294.245</v>
      </c>
      <c r="E151" s="3">
        <v>299.02947154471548</v>
      </c>
      <c r="F151">
        <v>201.24600000000001</v>
      </c>
      <c r="G151" s="3">
        <v>204.51829268292687</v>
      </c>
      <c r="H151" s="9" t="s">
        <v>87</v>
      </c>
    </row>
    <row r="152" spans="3:8">
      <c r="C152">
        <v>144</v>
      </c>
      <c r="D152">
        <v>336.99</v>
      </c>
      <c r="E152" s="3">
        <v>342.46951219512198</v>
      </c>
      <c r="F152">
        <v>181.816</v>
      </c>
      <c r="G152" s="3">
        <v>184.77235772357724</v>
      </c>
      <c r="H152" s="9" t="s">
        <v>99</v>
      </c>
    </row>
    <row r="153" spans="3:8">
      <c r="C153">
        <v>145</v>
      </c>
      <c r="D153">
        <v>229.965</v>
      </c>
      <c r="E153" s="3">
        <v>233.70426829268294</v>
      </c>
      <c r="F153">
        <v>221.47200000000001</v>
      </c>
      <c r="G153" s="3">
        <v>225.07317073170734</v>
      </c>
      <c r="H153" s="9" t="s">
        <v>99</v>
      </c>
    </row>
    <row r="154" spans="3:8">
      <c r="C154">
        <v>146</v>
      </c>
      <c r="D154">
        <v>251.17699999999999</v>
      </c>
      <c r="E154" s="3">
        <v>255.26117886178864</v>
      </c>
      <c r="F154">
        <v>186.797</v>
      </c>
      <c r="G154" s="3">
        <v>189.83434959349594</v>
      </c>
      <c r="H154" s="9" t="s">
        <v>87</v>
      </c>
    </row>
    <row r="155" spans="3:8">
      <c r="C155">
        <v>147</v>
      </c>
      <c r="D155">
        <v>254.55799999999999</v>
      </c>
      <c r="E155" s="3">
        <v>258.69715447154471</v>
      </c>
      <c r="F155">
        <v>174.02600000000001</v>
      </c>
      <c r="G155" s="3">
        <v>176.85569105691059</v>
      </c>
      <c r="H155" s="9" t="s">
        <v>87</v>
      </c>
    </row>
    <row r="156" spans="3:8">
      <c r="C156">
        <v>148</v>
      </c>
      <c r="D156">
        <v>300</v>
      </c>
      <c r="E156" s="3">
        <v>304.87804878048786</v>
      </c>
      <c r="F156">
        <v>195.208</v>
      </c>
      <c r="G156" s="3">
        <v>198.38211382113823</v>
      </c>
      <c r="H156" s="9" t="s">
        <v>87</v>
      </c>
    </row>
    <row r="157" spans="3:8">
      <c r="C157">
        <v>149</v>
      </c>
      <c r="D157">
        <v>294.245</v>
      </c>
      <c r="E157" s="3">
        <v>299.02947154471548</v>
      </c>
      <c r="F157">
        <v>228</v>
      </c>
      <c r="G157" s="3">
        <v>231.70731707317074</v>
      </c>
      <c r="H157" s="9" t="s">
        <v>87</v>
      </c>
    </row>
    <row r="158" spans="3:8">
      <c r="C158">
        <v>150</v>
      </c>
      <c r="D158">
        <v>192.023</v>
      </c>
      <c r="E158" s="3">
        <v>195.14532520325204</v>
      </c>
      <c r="F158">
        <v>85.802000000000007</v>
      </c>
      <c r="G158" s="3">
        <v>87.197154471544735</v>
      </c>
      <c r="H158" s="9" t="s">
        <v>87</v>
      </c>
    </row>
    <row r="159" spans="3:8">
      <c r="E159" s="3"/>
      <c r="F159"/>
      <c r="G159" s="3"/>
      <c r="H159"/>
    </row>
    <row r="160" spans="3:8">
      <c r="C160" t="s">
        <v>41</v>
      </c>
      <c r="D160">
        <f t="shared" ref="D160" si="0">MEDIAN(D9:D158)</f>
        <v>232.34050000000002</v>
      </c>
      <c r="E160">
        <f>MEDIAN(E9:E158)</f>
        <v>236.1183943089431</v>
      </c>
      <c r="F160">
        <f>MEDIAN(F9:F158)</f>
        <v>158.70249999999999</v>
      </c>
      <c r="G160">
        <f>MEDIAN(G9:G158)</f>
        <v>161.28302845528458</v>
      </c>
      <c r="H160"/>
    </row>
    <row r="161" spans="3:8">
      <c r="C161" t="s">
        <v>39</v>
      </c>
      <c r="D161">
        <f t="shared" ref="D161" si="1">MAX(D9:D158)</f>
        <v>546.29700000000003</v>
      </c>
      <c r="E161">
        <f>MAX(E9:E158)</f>
        <v>555.17987804878055</v>
      </c>
      <c r="F161">
        <f>MAX(F9:F158)</f>
        <v>372.435</v>
      </c>
      <c r="G161">
        <f>MAX(G9:G158)</f>
        <v>378.49085365853659</v>
      </c>
      <c r="H161"/>
    </row>
    <row r="162" spans="3:8">
      <c r="C162" t="s">
        <v>38</v>
      </c>
      <c r="D162">
        <f t="shared" ref="D162" si="2">MIN(D9:D158)</f>
        <v>75</v>
      </c>
      <c r="E162">
        <f>MIN(E9:E158)</f>
        <v>76.219512195121965</v>
      </c>
      <c r="F162">
        <f>MIN(F9:F158)</f>
        <v>67.081999999999994</v>
      </c>
      <c r="G162">
        <f>MIN(G9:G158)</f>
        <v>68.172764227642276</v>
      </c>
      <c r="H162"/>
    </row>
    <row r="163" spans="3:8">
      <c r="C163" t="s">
        <v>26</v>
      </c>
      <c r="D163">
        <f t="shared" ref="D163" si="3">AVERAGE(D9:D158)</f>
        <v>237.92752666666664</v>
      </c>
      <c r="E163">
        <f>AVERAGE(E9:E158)</f>
        <v>241.79626693766937</v>
      </c>
      <c r="F163">
        <f>AVERAGE(F9:F158)</f>
        <v>166.46411333333339</v>
      </c>
      <c r="G163">
        <f>AVERAGE(G9:G158)</f>
        <v>169.17084688346881</v>
      </c>
      <c r="H163"/>
    </row>
    <row r="164" spans="3:8">
      <c r="C164" t="s">
        <v>113</v>
      </c>
      <c r="D164">
        <f>_xlfn.STDEV.S(D9:D158)</f>
        <v>81.405668463788345</v>
      </c>
      <c r="E164">
        <f t="shared" ref="E164:G164" si="4">_xlfn.STDEV.S(E9:E158)</f>
        <v>82.729337869703585</v>
      </c>
      <c r="F164">
        <f t="shared" si="4"/>
        <v>58.550388185891435</v>
      </c>
      <c r="G164">
        <f t="shared" si="4"/>
        <v>59.502427018182658</v>
      </c>
      <c r="H164"/>
    </row>
    <row r="165" spans="3:8">
      <c r="D165" s="3"/>
      <c r="E165" s="3"/>
      <c r="F165"/>
      <c r="G165" s="3"/>
      <c r="H165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topLeftCell="A158" workbookViewId="0">
      <selection activeCell="M16" sqref="M16"/>
    </sheetView>
  </sheetViews>
  <sheetFormatPr baseColWidth="10" defaultRowHeight="15"/>
  <sheetData>
    <row r="1" spans="1:8">
      <c r="A1" s="8" t="s">
        <v>73</v>
      </c>
      <c r="D1" s="39" t="s">
        <v>180</v>
      </c>
    </row>
    <row r="2" spans="1:8">
      <c r="A2" t="s">
        <v>20</v>
      </c>
      <c r="B2" t="s">
        <v>82</v>
      </c>
    </row>
    <row r="3" spans="1:8">
      <c r="A3">
        <v>253.98</v>
      </c>
      <c r="B3">
        <v>250</v>
      </c>
    </row>
    <row r="4" spans="1:8">
      <c r="A4">
        <v>1</v>
      </c>
      <c r="B4">
        <f>250/A3</f>
        <v>0.98432947476179233</v>
      </c>
    </row>
    <row r="11" spans="1:8">
      <c r="C11" t="s">
        <v>58</v>
      </c>
      <c r="D11" t="s">
        <v>77</v>
      </c>
      <c r="E11" s="3" t="s">
        <v>84</v>
      </c>
      <c r="F11" t="s">
        <v>85</v>
      </c>
      <c r="G11" t="s">
        <v>86</v>
      </c>
      <c r="H11" s="3" t="s">
        <v>76</v>
      </c>
    </row>
    <row r="12" spans="1:8">
      <c r="C12">
        <v>1</v>
      </c>
      <c r="D12">
        <v>227.70230000000001</v>
      </c>
      <c r="E12">
        <f t="shared" ref="E12:E43" si="0">D12*$B$4</f>
        <v>224.13408536105209</v>
      </c>
      <c r="F12">
        <v>164.06899999999999</v>
      </c>
      <c r="G12">
        <f t="shared" ref="G12:G43" si="1">F12*$B$4</f>
        <v>161.49795259469249</v>
      </c>
      <c r="H12" t="s">
        <v>87</v>
      </c>
    </row>
    <row r="13" spans="1:8">
      <c r="C13">
        <v>2</v>
      </c>
      <c r="D13">
        <v>50.223300000000002</v>
      </c>
      <c r="E13">
        <f t="shared" si="0"/>
        <v>49.43627450980393</v>
      </c>
      <c r="F13">
        <v>115.6134</v>
      </c>
      <c r="G13">
        <f t="shared" si="1"/>
        <v>113.801677297425</v>
      </c>
      <c r="H13" t="s">
        <v>87</v>
      </c>
    </row>
    <row r="14" spans="1:8">
      <c r="C14">
        <v>3</v>
      </c>
      <c r="D14">
        <v>139.71510000000001</v>
      </c>
      <c r="E14">
        <f t="shared" si="0"/>
        <v>137.5256909992913</v>
      </c>
      <c r="F14">
        <v>177.24469999999999</v>
      </c>
      <c r="G14">
        <f t="shared" si="1"/>
        <v>174.46718245531144</v>
      </c>
      <c r="H14" t="s">
        <v>87</v>
      </c>
    </row>
    <row r="15" spans="1:8">
      <c r="C15">
        <v>4</v>
      </c>
      <c r="D15">
        <v>132.3237</v>
      </c>
      <c r="E15">
        <f t="shared" si="0"/>
        <v>130.25011811953698</v>
      </c>
      <c r="F15">
        <v>138.3434</v>
      </c>
      <c r="G15">
        <f t="shared" si="1"/>
        <v>136.17548625876054</v>
      </c>
      <c r="H15" t="s">
        <v>87</v>
      </c>
    </row>
    <row r="16" spans="1:8">
      <c r="C16">
        <v>5</v>
      </c>
      <c r="D16">
        <v>139.4178</v>
      </c>
      <c r="E16">
        <f t="shared" si="0"/>
        <v>137.2330498464446</v>
      </c>
      <c r="F16">
        <v>119.3261</v>
      </c>
      <c r="G16">
        <f t="shared" si="1"/>
        <v>117.4561973383731</v>
      </c>
      <c r="H16" t="s">
        <v>87</v>
      </c>
    </row>
    <row r="17" spans="3:8">
      <c r="C17">
        <v>6</v>
      </c>
      <c r="D17">
        <v>199.411</v>
      </c>
      <c r="E17">
        <f t="shared" si="0"/>
        <v>196.28612489172377</v>
      </c>
      <c r="F17">
        <v>158.1713</v>
      </c>
      <c r="G17">
        <f t="shared" si="1"/>
        <v>155.6926726513899</v>
      </c>
      <c r="H17" t="s">
        <v>87</v>
      </c>
    </row>
    <row r="18" spans="3:8">
      <c r="C18">
        <v>7</v>
      </c>
      <c r="D18">
        <v>112.5595</v>
      </c>
      <c r="E18">
        <f t="shared" si="0"/>
        <v>110.79563351444996</v>
      </c>
      <c r="F18">
        <v>168.7953</v>
      </c>
      <c r="G18">
        <f t="shared" si="1"/>
        <v>166.15018899125917</v>
      </c>
      <c r="H18" t="s">
        <v>87</v>
      </c>
    </row>
    <row r="19" spans="3:8">
      <c r="C19">
        <v>8</v>
      </c>
      <c r="D19">
        <v>202.23939999999999</v>
      </c>
      <c r="E19">
        <f t="shared" si="0"/>
        <v>199.07020237814001</v>
      </c>
      <c r="F19">
        <v>187.1482</v>
      </c>
      <c r="G19">
        <f t="shared" si="1"/>
        <v>184.21548940861487</v>
      </c>
      <c r="H19" t="s">
        <v>87</v>
      </c>
    </row>
    <row r="20" spans="3:8">
      <c r="C20">
        <v>9</v>
      </c>
      <c r="D20">
        <v>141.44329999999999</v>
      </c>
      <c r="E20">
        <f t="shared" si="0"/>
        <v>139.22680919757462</v>
      </c>
      <c r="F20">
        <v>22.087199999999999</v>
      </c>
      <c r="G20">
        <f t="shared" si="1"/>
        <v>21.741081974958657</v>
      </c>
      <c r="H20" t="s">
        <v>87</v>
      </c>
    </row>
    <row r="21" spans="3:8">
      <c r="C21">
        <v>10</v>
      </c>
      <c r="D21">
        <v>56.938000000000002</v>
      </c>
      <c r="E21">
        <f t="shared" si="0"/>
        <v>56.045751633986931</v>
      </c>
      <c r="F21">
        <v>166.5282</v>
      </c>
      <c r="G21">
        <f t="shared" si="1"/>
        <v>163.91861563902671</v>
      </c>
      <c r="H21" t="s">
        <v>87</v>
      </c>
    </row>
    <row r="22" spans="3:8">
      <c r="C22">
        <v>11</v>
      </c>
      <c r="D22">
        <v>84.119600000000005</v>
      </c>
      <c r="E22">
        <f t="shared" si="0"/>
        <v>82.801401685172067</v>
      </c>
      <c r="F22">
        <v>124.29859999999999</v>
      </c>
      <c r="G22">
        <f t="shared" si="1"/>
        <v>122.35077565162611</v>
      </c>
      <c r="H22" t="s">
        <v>87</v>
      </c>
    </row>
    <row r="23" spans="3:8">
      <c r="C23">
        <v>12</v>
      </c>
      <c r="D23">
        <v>190.02109999999999</v>
      </c>
      <c r="E23">
        <f t="shared" si="0"/>
        <v>187.04336955665801</v>
      </c>
      <c r="F23">
        <v>187.32169999999999</v>
      </c>
      <c r="G23">
        <f t="shared" si="1"/>
        <v>184.38627057248604</v>
      </c>
      <c r="H23" t="s">
        <v>87</v>
      </c>
    </row>
    <row r="24" spans="3:8">
      <c r="C24">
        <v>13</v>
      </c>
      <c r="D24">
        <v>141.8563</v>
      </c>
      <c r="E24">
        <f t="shared" si="0"/>
        <v>139.63333727065125</v>
      </c>
      <c r="F24">
        <v>110.12260000000001</v>
      </c>
      <c r="G24">
        <f t="shared" si="1"/>
        <v>108.39692101740296</v>
      </c>
      <c r="H24" t="s">
        <v>87</v>
      </c>
    </row>
    <row r="25" spans="3:8">
      <c r="C25">
        <v>14</v>
      </c>
      <c r="D25">
        <v>79.627899999999997</v>
      </c>
      <c r="E25">
        <f t="shared" si="0"/>
        <v>78.380088983384525</v>
      </c>
      <c r="F25">
        <v>102.0804</v>
      </c>
      <c r="G25">
        <f t="shared" si="1"/>
        <v>100.48074651547367</v>
      </c>
      <c r="H25" t="s">
        <v>87</v>
      </c>
    </row>
    <row r="26" spans="3:8">
      <c r="C26">
        <v>15</v>
      </c>
      <c r="D26">
        <v>116.1782</v>
      </c>
      <c r="E26">
        <f t="shared" si="0"/>
        <v>114.35762658477047</v>
      </c>
      <c r="F26">
        <v>155.82509999999999</v>
      </c>
      <c r="G26">
        <f t="shared" si="1"/>
        <v>153.38323883770377</v>
      </c>
      <c r="H26" t="s">
        <v>87</v>
      </c>
    </row>
    <row r="27" spans="3:8">
      <c r="C27">
        <v>16</v>
      </c>
      <c r="D27">
        <v>167.83349999999999</v>
      </c>
      <c r="E27">
        <f t="shared" si="0"/>
        <v>165.20346090243325</v>
      </c>
      <c r="F27">
        <v>60.049799999999998</v>
      </c>
      <c r="G27">
        <f t="shared" si="1"/>
        <v>59.108788093550672</v>
      </c>
      <c r="H27" t="s">
        <v>87</v>
      </c>
    </row>
    <row r="28" spans="3:8">
      <c r="C28">
        <v>17</v>
      </c>
      <c r="D28">
        <v>87.198599999999999</v>
      </c>
      <c r="E28">
        <f t="shared" si="0"/>
        <v>85.832152137963618</v>
      </c>
      <c r="F28">
        <v>105.18170000000001</v>
      </c>
      <c r="G28">
        <f t="shared" si="1"/>
        <v>103.53344751555242</v>
      </c>
      <c r="H28" t="s">
        <v>87</v>
      </c>
    </row>
    <row r="29" spans="3:8">
      <c r="C29">
        <v>18</v>
      </c>
      <c r="D29">
        <v>193.25479999999999</v>
      </c>
      <c r="E29">
        <f t="shared" si="0"/>
        <v>190.2263957791952</v>
      </c>
      <c r="F29">
        <v>172.44239999999999</v>
      </c>
      <c r="G29">
        <f t="shared" si="1"/>
        <v>169.74013701866289</v>
      </c>
      <c r="H29" t="s">
        <v>87</v>
      </c>
    </row>
    <row r="30" spans="3:8">
      <c r="C30">
        <v>19</v>
      </c>
      <c r="D30">
        <v>97.112799999999993</v>
      </c>
      <c r="E30">
        <f t="shared" si="0"/>
        <v>95.590991416646986</v>
      </c>
      <c r="F30">
        <v>117.9684</v>
      </c>
      <c r="G30">
        <f t="shared" si="1"/>
        <v>116.11977321048903</v>
      </c>
      <c r="H30" t="s">
        <v>87</v>
      </c>
    </row>
    <row r="31" spans="3:8">
      <c r="C31">
        <v>20</v>
      </c>
      <c r="D31">
        <v>227.9803</v>
      </c>
      <c r="E31">
        <f t="shared" si="0"/>
        <v>224.40772895503585</v>
      </c>
      <c r="F31">
        <v>163.1448</v>
      </c>
      <c r="G31">
        <f t="shared" si="1"/>
        <v>160.58823529411765</v>
      </c>
      <c r="H31" t="s">
        <v>87</v>
      </c>
    </row>
    <row r="32" spans="3:8">
      <c r="C32">
        <v>21</v>
      </c>
      <c r="D32">
        <v>102.1979</v>
      </c>
      <c r="E32">
        <f t="shared" si="0"/>
        <v>100.59640522875819</v>
      </c>
      <c r="F32">
        <v>145.35290000000001</v>
      </c>
      <c r="G32">
        <f t="shared" si="1"/>
        <v>143.07514371210334</v>
      </c>
      <c r="H32" t="s">
        <v>87</v>
      </c>
    </row>
    <row r="33" spans="3:8">
      <c r="C33">
        <v>22</v>
      </c>
      <c r="D33">
        <v>198.50700000000001</v>
      </c>
      <c r="E33">
        <f t="shared" si="0"/>
        <v>195.39629104653912</v>
      </c>
      <c r="F33">
        <v>119.85980000000001</v>
      </c>
      <c r="G33">
        <f t="shared" si="1"/>
        <v>117.98153397905348</v>
      </c>
      <c r="H33" t="s">
        <v>87</v>
      </c>
    </row>
    <row r="34" spans="3:8">
      <c r="C34">
        <v>23</v>
      </c>
      <c r="D34">
        <v>86.600399999999993</v>
      </c>
      <c r="E34">
        <f t="shared" si="0"/>
        <v>85.243326246161118</v>
      </c>
      <c r="F34">
        <v>63.204700000000003</v>
      </c>
      <c r="G34">
        <f t="shared" si="1"/>
        <v>62.214249153476658</v>
      </c>
      <c r="H34" t="s">
        <v>87</v>
      </c>
    </row>
    <row r="35" spans="3:8">
      <c r="C35">
        <v>24</v>
      </c>
      <c r="D35">
        <v>105.77460000000001</v>
      </c>
      <c r="E35">
        <f t="shared" si="0"/>
        <v>104.11705646113869</v>
      </c>
      <c r="F35">
        <v>133.29150000000001</v>
      </c>
      <c r="G35">
        <f t="shared" si="1"/>
        <v>131.20275218521147</v>
      </c>
      <c r="H35" t="s">
        <v>87</v>
      </c>
    </row>
    <row r="36" spans="3:8">
      <c r="C36">
        <v>25</v>
      </c>
      <c r="D36">
        <v>67.676000000000002</v>
      </c>
      <c r="E36">
        <f t="shared" si="0"/>
        <v>66.615481533979064</v>
      </c>
      <c r="F36">
        <v>35.941600000000001</v>
      </c>
      <c r="G36">
        <f t="shared" si="1"/>
        <v>35.378376250098434</v>
      </c>
      <c r="H36" t="s">
        <v>87</v>
      </c>
    </row>
    <row r="37" spans="3:8">
      <c r="C37">
        <v>26</v>
      </c>
      <c r="D37">
        <v>161.78460000000001</v>
      </c>
      <c r="E37">
        <f t="shared" si="0"/>
        <v>159.24935034254668</v>
      </c>
      <c r="F37">
        <v>126.53530000000001</v>
      </c>
      <c r="G37">
        <f t="shared" si="1"/>
        <v>124.55242538782583</v>
      </c>
      <c r="H37" t="s">
        <v>87</v>
      </c>
    </row>
    <row r="38" spans="3:8">
      <c r="C38">
        <v>27</v>
      </c>
      <c r="D38">
        <v>182.57249999999999</v>
      </c>
      <c r="E38">
        <f t="shared" si="0"/>
        <v>179.71149303094731</v>
      </c>
      <c r="F38">
        <v>132.3777</v>
      </c>
      <c r="G38">
        <f t="shared" si="1"/>
        <v>130.30327191117411</v>
      </c>
      <c r="H38" t="s">
        <v>87</v>
      </c>
    </row>
    <row r="39" spans="3:8">
      <c r="C39">
        <v>28</v>
      </c>
      <c r="D39">
        <v>156.03909999999999</v>
      </c>
      <c r="E39">
        <f t="shared" si="0"/>
        <v>153.59388534530279</v>
      </c>
      <c r="F39">
        <v>143.86859999999999</v>
      </c>
      <c r="G39">
        <f t="shared" si="1"/>
        <v>141.61410347271439</v>
      </c>
      <c r="H39" t="s">
        <v>87</v>
      </c>
    </row>
    <row r="40" spans="3:8">
      <c r="C40">
        <v>29</v>
      </c>
      <c r="D40">
        <v>132.59139999999999</v>
      </c>
      <c r="E40">
        <f t="shared" si="0"/>
        <v>130.51362311993071</v>
      </c>
      <c r="F40">
        <v>170.75559999999999</v>
      </c>
      <c r="G40">
        <f t="shared" si="1"/>
        <v>168.0797700606347</v>
      </c>
      <c r="H40" t="s">
        <v>87</v>
      </c>
    </row>
    <row r="41" spans="3:8">
      <c r="C41">
        <v>30</v>
      </c>
      <c r="D41">
        <v>175.02189999999999</v>
      </c>
      <c r="E41">
        <f t="shared" si="0"/>
        <v>172.27921489881092</v>
      </c>
      <c r="F41">
        <v>186.0446</v>
      </c>
      <c r="G41">
        <f t="shared" si="1"/>
        <v>183.12918340026775</v>
      </c>
      <c r="H41" t="s">
        <v>87</v>
      </c>
    </row>
    <row r="42" spans="3:8">
      <c r="C42">
        <v>31</v>
      </c>
      <c r="D42">
        <v>175.6378</v>
      </c>
      <c r="E42">
        <f t="shared" si="0"/>
        <v>172.88546342231672</v>
      </c>
      <c r="F42">
        <v>150.42789999999999</v>
      </c>
      <c r="G42">
        <f t="shared" si="1"/>
        <v>148.07061579651941</v>
      </c>
      <c r="H42" t="s">
        <v>87</v>
      </c>
    </row>
    <row r="43" spans="3:8">
      <c r="C43">
        <v>32</v>
      </c>
      <c r="D43">
        <v>181.72929999999999</v>
      </c>
      <c r="E43">
        <f t="shared" si="0"/>
        <v>178.88150641782818</v>
      </c>
      <c r="F43">
        <v>119.1016</v>
      </c>
      <c r="G43">
        <f t="shared" si="1"/>
        <v>117.23521537128909</v>
      </c>
      <c r="H43" t="s">
        <v>87</v>
      </c>
    </row>
    <row r="44" spans="3:8">
      <c r="C44">
        <v>33</v>
      </c>
      <c r="D44">
        <v>173.3426</v>
      </c>
      <c r="E44">
        <f t="shared" ref="E44:E75" si="2">D44*$B$4</f>
        <v>170.62623041184347</v>
      </c>
      <c r="F44">
        <v>177.0283</v>
      </c>
      <c r="G44">
        <f t="shared" ref="G44:G75" si="3">F44*$B$4</f>
        <v>174.254173556973</v>
      </c>
      <c r="H44" t="s">
        <v>87</v>
      </c>
    </row>
    <row r="45" spans="3:8">
      <c r="C45">
        <v>34</v>
      </c>
      <c r="D45">
        <v>233.3638</v>
      </c>
      <c r="E45">
        <f t="shared" si="2"/>
        <v>229.70686668241595</v>
      </c>
      <c r="F45">
        <v>118.8751</v>
      </c>
      <c r="G45">
        <f t="shared" si="3"/>
        <v>117.01226474525555</v>
      </c>
      <c r="H45" t="s">
        <v>87</v>
      </c>
    </row>
    <row r="46" spans="3:8">
      <c r="C46">
        <v>35</v>
      </c>
      <c r="D46">
        <v>90.5334</v>
      </c>
      <c r="E46">
        <f t="shared" si="2"/>
        <v>89.114694070399253</v>
      </c>
      <c r="F46">
        <v>24.836200000000002</v>
      </c>
      <c r="G46">
        <f t="shared" si="3"/>
        <v>24.447003701078827</v>
      </c>
      <c r="H46" t="s">
        <v>87</v>
      </c>
    </row>
    <row r="47" spans="3:8">
      <c r="C47">
        <v>36</v>
      </c>
      <c r="D47">
        <v>187.60069999999999</v>
      </c>
      <c r="E47">
        <f t="shared" si="2"/>
        <v>184.66089849594456</v>
      </c>
      <c r="F47">
        <v>42.183500000000002</v>
      </c>
      <c r="G47">
        <f t="shared" si="3"/>
        <v>41.522462398614067</v>
      </c>
      <c r="H47" t="s">
        <v>87</v>
      </c>
    </row>
    <row r="48" spans="3:8">
      <c r="C48">
        <v>37</v>
      </c>
      <c r="D48">
        <v>95.828699999999998</v>
      </c>
      <c r="E48">
        <f t="shared" si="2"/>
        <v>94.327013938105367</v>
      </c>
      <c r="F48">
        <v>166.0727</v>
      </c>
      <c r="G48">
        <f t="shared" si="3"/>
        <v>163.47025356327271</v>
      </c>
      <c r="H48" t="s">
        <v>87</v>
      </c>
    </row>
    <row r="49" spans="3:8">
      <c r="C49">
        <v>38</v>
      </c>
      <c r="D49">
        <v>73.162899999999993</v>
      </c>
      <c r="E49">
        <f t="shared" si="2"/>
        <v>72.016398929049529</v>
      </c>
      <c r="F49">
        <v>102.8775</v>
      </c>
      <c r="G49">
        <f t="shared" si="3"/>
        <v>101.26535553980629</v>
      </c>
      <c r="H49" t="s">
        <v>87</v>
      </c>
    </row>
    <row r="50" spans="3:8">
      <c r="C50">
        <v>39</v>
      </c>
      <c r="D50">
        <v>167.81700000000001</v>
      </c>
      <c r="E50">
        <f t="shared" si="2"/>
        <v>165.18721946609972</v>
      </c>
      <c r="F50">
        <v>163.0909</v>
      </c>
      <c r="G50">
        <f t="shared" si="3"/>
        <v>160.535179935428</v>
      </c>
      <c r="H50" t="s">
        <v>87</v>
      </c>
    </row>
    <row r="51" spans="3:8">
      <c r="C51">
        <v>40</v>
      </c>
      <c r="D51">
        <v>137.32669999999999</v>
      </c>
      <c r="E51">
        <f t="shared" si="2"/>
        <v>135.17471848177021</v>
      </c>
      <c r="F51">
        <v>56.970599999999997</v>
      </c>
      <c r="G51">
        <f t="shared" si="3"/>
        <v>56.077840774864164</v>
      </c>
      <c r="H51" t="s">
        <v>87</v>
      </c>
    </row>
    <row r="52" spans="3:8">
      <c r="C52">
        <v>41</v>
      </c>
      <c r="D52">
        <v>138.99270000000001</v>
      </c>
      <c r="E52">
        <f t="shared" si="2"/>
        <v>136.81461138672339</v>
      </c>
      <c r="F52">
        <v>114.23269999999999</v>
      </c>
      <c r="G52">
        <f t="shared" si="3"/>
        <v>112.4426135916214</v>
      </c>
      <c r="H52" t="s">
        <v>87</v>
      </c>
    </row>
    <row r="53" spans="3:8">
      <c r="C53">
        <v>42</v>
      </c>
      <c r="D53">
        <v>178.41730000000001</v>
      </c>
      <c r="E53">
        <f t="shared" si="2"/>
        <v>175.62140719741714</v>
      </c>
      <c r="F53">
        <v>127.1905</v>
      </c>
      <c r="G53">
        <f t="shared" si="3"/>
        <v>125.19735805968975</v>
      </c>
      <c r="H53" t="s">
        <v>87</v>
      </c>
    </row>
    <row r="54" spans="3:8">
      <c r="C54">
        <v>43</v>
      </c>
      <c r="D54">
        <v>199.43539999999999</v>
      </c>
      <c r="E54">
        <f t="shared" si="2"/>
        <v>196.31014253090794</v>
      </c>
      <c r="F54">
        <v>27.342500000000001</v>
      </c>
      <c r="G54">
        <f t="shared" si="3"/>
        <v>26.914028663674308</v>
      </c>
      <c r="H54" t="s">
        <v>87</v>
      </c>
    </row>
    <row r="55" spans="3:8">
      <c r="C55">
        <v>44</v>
      </c>
      <c r="D55">
        <v>117.9423</v>
      </c>
      <c r="E55">
        <f t="shared" si="2"/>
        <v>116.09408221119774</v>
      </c>
      <c r="F55">
        <v>124.6571</v>
      </c>
      <c r="G55">
        <f t="shared" si="3"/>
        <v>122.70365776832823</v>
      </c>
      <c r="H55" t="s">
        <v>87</v>
      </c>
    </row>
    <row r="56" spans="3:8">
      <c r="C56">
        <v>45</v>
      </c>
      <c r="D56">
        <v>178.4299</v>
      </c>
      <c r="E56">
        <f t="shared" si="2"/>
        <v>175.63380974879914</v>
      </c>
      <c r="F56">
        <v>82.5227</v>
      </c>
      <c r="G56">
        <f t="shared" si="3"/>
        <v>81.229525946924966</v>
      </c>
      <c r="H56" t="s">
        <v>87</v>
      </c>
    </row>
    <row r="57" spans="3:8">
      <c r="C57">
        <v>46</v>
      </c>
      <c r="D57">
        <v>130.73480000000001</v>
      </c>
      <c r="E57">
        <f t="shared" si="2"/>
        <v>128.68611701708798</v>
      </c>
      <c r="F57">
        <v>30.271899999999999</v>
      </c>
      <c r="G57">
        <f t="shared" si="3"/>
        <v>29.797523427041501</v>
      </c>
      <c r="H57" t="s">
        <v>87</v>
      </c>
    </row>
    <row r="58" spans="3:8">
      <c r="C58">
        <v>47</v>
      </c>
      <c r="D58">
        <v>213.33430000000001</v>
      </c>
      <c r="E58">
        <f t="shared" si="2"/>
        <v>209.99123946767466</v>
      </c>
      <c r="F58">
        <v>103.7582</v>
      </c>
      <c r="G58">
        <f t="shared" si="3"/>
        <v>102.13225450822901</v>
      </c>
      <c r="H58" t="s">
        <v>87</v>
      </c>
    </row>
    <row r="59" spans="3:8">
      <c r="C59">
        <v>48</v>
      </c>
      <c r="D59">
        <v>211.58590000000001</v>
      </c>
      <c r="E59">
        <f t="shared" si="2"/>
        <v>208.27023781400112</v>
      </c>
      <c r="F59">
        <v>54.1492</v>
      </c>
      <c r="G59">
        <f t="shared" si="3"/>
        <v>53.300653594771248</v>
      </c>
      <c r="H59" t="s">
        <v>87</v>
      </c>
    </row>
    <row r="60" spans="3:8">
      <c r="C60">
        <v>49</v>
      </c>
      <c r="D60">
        <v>99.749600000000001</v>
      </c>
      <c r="E60">
        <f t="shared" si="2"/>
        <v>98.186471375698886</v>
      </c>
      <c r="F60">
        <v>42.555</v>
      </c>
      <c r="G60">
        <f t="shared" si="3"/>
        <v>41.888140798488074</v>
      </c>
      <c r="H60" t="s">
        <v>87</v>
      </c>
    </row>
    <row r="61" spans="3:8">
      <c r="C61">
        <v>50</v>
      </c>
      <c r="D61">
        <v>169.01140000000001</v>
      </c>
      <c r="E61">
        <f t="shared" si="2"/>
        <v>166.3629025907552</v>
      </c>
      <c r="F61">
        <v>56.317500000000003</v>
      </c>
      <c r="G61">
        <f t="shared" si="3"/>
        <v>55.434975194897241</v>
      </c>
      <c r="H61" t="s">
        <v>87</v>
      </c>
    </row>
    <row r="62" spans="3:8">
      <c r="C62">
        <v>51</v>
      </c>
      <c r="D62">
        <v>162.9563</v>
      </c>
      <c r="E62">
        <f t="shared" si="2"/>
        <v>160.40268918812507</v>
      </c>
      <c r="F62">
        <v>46.468000000000004</v>
      </c>
      <c r="G62">
        <f t="shared" si="3"/>
        <v>45.739822033230972</v>
      </c>
      <c r="H62" t="s">
        <v>87</v>
      </c>
    </row>
    <row r="63" spans="3:8">
      <c r="C63">
        <v>52</v>
      </c>
      <c r="D63">
        <v>154.9034</v>
      </c>
      <c r="E63">
        <f t="shared" si="2"/>
        <v>152.47598236081583</v>
      </c>
      <c r="F63">
        <v>53.575099999999999</v>
      </c>
      <c r="G63">
        <f t="shared" si="3"/>
        <v>52.735550043310496</v>
      </c>
      <c r="H63" t="s">
        <v>87</v>
      </c>
    </row>
    <row r="64" spans="3:8">
      <c r="C64">
        <v>53</v>
      </c>
      <c r="D64">
        <v>218.76859999999999</v>
      </c>
      <c r="E64">
        <f t="shared" si="2"/>
        <v>215.34038113237264</v>
      </c>
      <c r="F64">
        <v>29.123000000000001</v>
      </c>
      <c r="G64">
        <f t="shared" si="3"/>
        <v>28.666627293487679</v>
      </c>
      <c r="H64" t="s">
        <v>87</v>
      </c>
    </row>
    <row r="65" spans="3:8">
      <c r="C65">
        <v>54</v>
      </c>
      <c r="D65">
        <v>101.36709999999999</v>
      </c>
      <c r="E65">
        <f t="shared" si="2"/>
        <v>99.778624301126072</v>
      </c>
      <c r="F65">
        <v>128.07810000000001</v>
      </c>
      <c r="G65">
        <f t="shared" si="3"/>
        <v>126.07104890148833</v>
      </c>
      <c r="H65" t="s">
        <v>87</v>
      </c>
    </row>
    <row r="66" spans="3:8">
      <c r="C66">
        <v>55</v>
      </c>
      <c r="D66">
        <v>111.7064</v>
      </c>
      <c r="E66">
        <f t="shared" si="2"/>
        <v>109.95590203953068</v>
      </c>
      <c r="F66">
        <v>69.071799999999996</v>
      </c>
      <c r="G66">
        <f t="shared" si="3"/>
        <v>67.98940861485157</v>
      </c>
      <c r="H66" t="s">
        <v>87</v>
      </c>
    </row>
    <row r="67" spans="3:8">
      <c r="C67">
        <v>56</v>
      </c>
      <c r="D67">
        <v>73.127600000000001</v>
      </c>
      <c r="E67">
        <f t="shared" si="2"/>
        <v>71.981652098590445</v>
      </c>
      <c r="F67">
        <v>111.9456</v>
      </c>
      <c r="G67">
        <f t="shared" si="3"/>
        <v>110.1913536498937</v>
      </c>
      <c r="H67" t="s">
        <v>87</v>
      </c>
    </row>
    <row r="68" spans="3:8">
      <c r="C68">
        <v>57</v>
      </c>
      <c r="D68">
        <v>232.32689999999999</v>
      </c>
      <c r="E68">
        <f t="shared" si="2"/>
        <v>228.68621545003543</v>
      </c>
      <c r="F68">
        <v>138.09219999999999</v>
      </c>
      <c r="G68">
        <f t="shared" si="3"/>
        <v>135.92822269470037</v>
      </c>
      <c r="H68" t="s">
        <v>87</v>
      </c>
    </row>
    <row r="69" spans="3:8">
      <c r="C69">
        <v>58</v>
      </c>
      <c r="D69">
        <v>175.2371</v>
      </c>
      <c r="E69">
        <f t="shared" si="2"/>
        <v>172.49104260177967</v>
      </c>
      <c r="F69">
        <v>105.3524</v>
      </c>
      <c r="G69">
        <f t="shared" si="3"/>
        <v>103.70147255689426</v>
      </c>
      <c r="H69" t="s">
        <v>87</v>
      </c>
    </row>
    <row r="70" spans="3:8">
      <c r="C70">
        <v>59</v>
      </c>
      <c r="D70">
        <v>143.01589999999999</v>
      </c>
      <c r="E70">
        <f t="shared" si="2"/>
        <v>140.774765729585</v>
      </c>
      <c r="F70">
        <v>111.47880000000001</v>
      </c>
      <c r="G70">
        <f t="shared" si="3"/>
        <v>109.7318686510749</v>
      </c>
      <c r="H70" t="s">
        <v>87</v>
      </c>
    </row>
    <row r="71" spans="3:8">
      <c r="C71">
        <v>60</v>
      </c>
      <c r="D71">
        <v>174.0275</v>
      </c>
      <c r="E71">
        <f t="shared" si="2"/>
        <v>171.30039766910781</v>
      </c>
      <c r="F71">
        <v>96.345600000000005</v>
      </c>
      <c r="G71">
        <f t="shared" si="3"/>
        <v>94.835813843609742</v>
      </c>
      <c r="H71" t="s">
        <v>87</v>
      </c>
    </row>
    <row r="72" spans="3:8">
      <c r="C72">
        <v>61</v>
      </c>
      <c r="D72">
        <v>155.67490000000001</v>
      </c>
      <c r="E72">
        <f t="shared" si="2"/>
        <v>153.23539255059455</v>
      </c>
      <c r="F72">
        <v>42.6967</v>
      </c>
      <c r="G72">
        <f t="shared" si="3"/>
        <v>42.027620285061822</v>
      </c>
      <c r="H72" t="s">
        <v>87</v>
      </c>
    </row>
    <row r="73" spans="3:8">
      <c r="C73">
        <v>62</v>
      </c>
      <c r="D73">
        <v>175.57839999999999</v>
      </c>
      <c r="E73">
        <f t="shared" si="2"/>
        <v>172.82699425151586</v>
      </c>
      <c r="F73">
        <v>103.8897</v>
      </c>
      <c r="G73">
        <f t="shared" si="3"/>
        <v>102.26169383416018</v>
      </c>
      <c r="H73" t="s">
        <v>87</v>
      </c>
    </row>
    <row r="74" spans="3:8">
      <c r="C74">
        <v>63</v>
      </c>
      <c r="D74">
        <v>155.51390000000001</v>
      </c>
      <c r="E74">
        <f t="shared" si="2"/>
        <v>153.0769155051579</v>
      </c>
      <c r="F74">
        <v>164.45070000000001</v>
      </c>
      <c r="G74">
        <f t="shared" si="3"/>
        <v>161.87367115520908</v>
      </c>
      <c r="H74" t="s">
        <v>87</v>
      </c>
    </row>
    <row r="75" spans="3:8">
      <c r="C75">
        <v>64</v>
      </c>
      <c r="D75">
        <v>189.88300000000001</v>
      </c>
      <c r="E75">
        <f t="shared" si="2"/>
        <v>186.90743365619343</v>
      </c>
      <c r="F75">
        <v>167.94589999999999</v>
      </c>
      <c r="G75">
        <f t="shared" si="3"/>
        <v>165.31409953539648</v>
      </c>
      <c r="H75" t="s">
        <v>87</v>
      </c>
    </row>
    <row r="76" spans="3:8">
      <c r="C76">
        <v>65</v>
      </c>
      <c r="D76">
        <v>151.36410000000001</v>
      </c>
      <c r="E76">
        <f t="shared" ref="E76:E107" si="4">D76*$B$4</f>
        <v>148.99214505079141</v>
      </c>
      <c r="F76">
        <v>67.139200000000002</v>
      </c>
      <c r="G76">
        <f t="shared" ref="G76:G107" si="5">F76*$B$4</f>
        <v>66.087093471926934</v>
      </c>
      <c r="H76" t="s">
        <v>87</v>
      </c>
    </row>
    <row r="77" spans="3:8">
      <c r="C77">
        <v>66</v>
      </c>
      <c r="D77">
        <v>242.77869999999999</v>
      </c>
      <c r="E77">
        <f t="shared" si="4"/>
        <v>238.97423025435074</v>
      </c>
      <c r="F77">
        <v>56.813000000000002</v>
      </c>
      <c r="G77">
        <f t="shared" si="5"/>
        <v>55.922710449641713</v>
      </c>
      <c r="H77" t="s">
        <v>87</v>
      </c>
    </row>
    <row r="78" spans="3:8">
      <c r="C78">
        <v>67</v>
      </c>
      <c r="D78">
        <v>92.423299999999998</v>
      </c>
      <c r="E78">
        <f t="shared" si="4"/>
        <v>90.974978344751563</v>
      </c>
      <c r="F78">
        <v>116.3516</v>
      </c>
      <c r="G78">
        <f t="shared" si="5"/>
        <v>114.52830931569416</v>
      </c>
      <c r="H78" t="s">
        <v>87</v>
      </c>
    </row>
    <row r="79" spans="3:8">
      <c r="C79">
        <v>68</v>
      </c>
      <c r="D79">
        <v>70.524900000000002</v>
      </c>
      <c r="E79">
        <f t="shared" si="4"/>
        <v>69.419737774627933</v>
      </c>
      <c r="F79">
        <v>128.93209999999999</v>
      </c>
      <c r="G79">
        <f t="shared" si="5"/>
        <v>126.91166627293488</v>
      </c>
      <c r="H79" t="s">
        <v>87</v>
      </c>
    </row>
    <row r="80" spans="3:8">
      <c r="C80">
        <v>69</v>
      </c>
      <c r="D80">
        <v>71.281300000000002</v>
      </c>
      <c r="E80">
        <f t="shared" si="4"/>
        <v>70.164284589337754</v>
      </c>
      <c r="F80">
        <v>91.643799999999999</v>
      </c>
      <c r="G80">
        <f t="shared" si="5"/>
        <v>90.20769351917474</v>
      </c>
      <c r="H80" t="s">
        <v>87</v>
      </c>
    </row>
    <row r="81" spans="3:8">
      <c r="C81">
        <v>70</v>
      </c>
      <c r="D81">
        <v>62.3367</v>
      </c>
      <c r="E81">
        <f t="shared" si="4"/>
        <v>61.359851169383418</v>
      </c>
      <c r="F81">
        <v>56.3979</v>
      </c>
      <c r="G81">
        <f t="shared" si="5"/>
        <v>55.514115284668087</v>
      </c>
      <c r="H81" t="s">
        <v>87</v>
      </c>
    </row>
    <row r="82" spans="3:8">
      <c r="C82">
        <v>71</v>
      </c>
      <c r="D82">
        <v>128.48849999999999</v>
      </c>
      <c r="E82">
        <f t="shared" si="4"/>
        <v>126.47501771793054</v>
      </c>
      <c r="F82">
        <v>180.3048</v>
      </c>
      <c r="G82">
        <f t="shared" si="5"/>
        <v>177.47932908103002</v>
      </c>
      <c r="H82" t="s">
        <v>87</v>
      </c>
    </row>
    <row r="83" spans="3:8">
      <c r="C83">
        <v>72</v>
      </c>
      <c r="D83">
        <v>136.98429999999999</v>
      </c>
      <c r="E83">
        <f t="shared" si="4"/>
        <v>134.83768406961178</v>
      </c>
      <c r="F83">
        <v>35.7059</v>
      </c>
      <c r="G83">
        <f t="shared" si="5"/>
        <v>35.146369792897083</v>
      </c>
      <c r="H83" t="s">
        <v>87</v>
      </c>
    </row>
    <row r="84" spans="3:8">
      <c r="C84">
        <v>73</v>
      </c>
      <c r="D84">
        <v>120.9683</v>
      </c>
      <c r="E84">
        <f t="shared" si="4"/>
        <v>119.07266320182693</v>
      </c>
      <c r="F84">
        <v>39.653500000000001</v>
      </c>
      <c r="G84">
        <f t="shared" si="5"/>
        <v>39.032108827466736</v>
      </c>
      <c r="H84" t="s">
        <v>87</v>
      </c>
    </row>
    <row r="85" spans="3:8">
      <c r="C85">
        <v>74</v>
      </c>
      <c r="D85">
        <v>198.1199</v>
      </c>
      <c r="E85">
        <f t="shared" si="4"/>
        <v>195.01525710685883</v>
      </c>
      <c r="F85">
        <v>45.7209</v>
      </c>
      <c r="G85">
        <f t="shared" si="5"/>
        <v>45.004429482636432</v>
      </c>
      <c r="H85" t="s">
        <v>87</v>
      </c>
    </row>
    <row r="86" spans="3:8">
      <c r="C86">
        <v>75</v>
      </c>
      <c r="D86">
        <v>171.81190000000001</v>
      </c>
      <c r="E86">
        <f t="shared" si="4"/>
        <v>169.1195172848256</v>
      </c>
      <c r="F86">
        <v>49.798900000000003</v>
      </c>
      <c r="G86">
        <f t="shared" si="5"/>
        <v>49.018525080715023</v>
      </c>
      <c r="H86" t="s">
        <v>87</v>
      </c>
    </row>
    <row r="87" spans="3:8">
      <c r="C87">
        <v>76</v>
      </c>
      <c r="D87">
        <v>199.76419999999999</v>
      </c>
      <c r="E87">
        <f t="shared" si="4"/>
        <v>196.63379006220961</v>
      </c>
      <c r="F87">
        <v>125.70010000000001</v>
      </c>
      <c r="G87">
        <f t="shared" si="5"/>
        <v>123.73031341050478</v>
      </c>
      <c r="H87" t="s">
        <v>87</v>
      </c>
    </row>
    <row r="88" spans="3:8">
      <c r="C88">
        <v>77</v>
      </c>
      <c r="D88">
        <v>230.9736</v>
      </c>
      <c r="E88">
        <f t="shared" si="4"/>
        <v>227.35412237184033</v>
      </c>
      <c r="F88">
        <v>117.8095</v>
      </c>
      <c r="G88">
        <f t="shared" si="5"/>
        <v>115.96336325694938</v>
      </c>
      <c r="H88" t="s">
        <v>87</v>
      </c>
    </row>
    <row r="89" spans="3:8">
      <c r="C89">
        <v>78</v>
      </c>
      <c r="D89">
        <v>238.71170000000001</v>
      </c>
      <c r="E89">
        <f t="shared" si="4"/>
        <v>234.97096228049455</v>
      </c>
      <c r="F89">
        <v>30.696999999999999</v>
      </c>
      <c r="G89">
        <f t="shared" si="5"/>
        <v>30.215961886762738</v>
      </c>
      <c r="H89" t="s">
        <v>87</v>
      </c>
    </row>
    <row r="90" spans="3:8">
      <c r="C90">
        <v>79</v>
      </c>
      <c r="D90">
        <v>87.253500000000003</v>
      </c>
      <c r="E90">
        <f t="shared" si="4"/>
        <v>85.886191826128055</v>
      </c>
      <c r="F90">
        <v>177.51060000000001</v>
      </c>
      <c r="G90">
        <f t="shared" si="5"/>
        <v>174.72891566265062</v>
      </c>
      <c r="H90" t="s">
        <v>87</v>
      </c>
    </row>
    <row r="91" spans="3:8">
      <c r="C91">
        <v>80</v>
      </c>
      <c r="D91">
        <v>76.941599999999994</v>
      </c>
      <c r="E91">
        <f t="shared" si="4"/>
        <v>75.73588471533192</v>
      </c>
      <c r="F91">
        <v>143.6865</v>
      </c>
      <c r="G91">
        <f t="shared" si="5"/>
        <v>141.43485707536027</v>
      </c>
      <c r="H91" t="s">
        <v>87</v>
      </c>
    </row>
    <row r="92" spans="3:8">
      <c r="C92">
        <v>81</v>
      </c>
      <c r="D92">
        <v>185.07570000000001</v>
      </c>
      <c r="E92">
        <f t="shared" si="4"/>
        <v>182.17546657217108</v>
      </c>
      <c r="F92">
        <v>145.21960000000001</v>
      </c>
      <c r="G92">
        <f t="shared" si="5"/>
        <v>142.94393259311758</v>
      </c>
      <c r="H92" t="s">
        <v>87</v>
      </c>
    </row>
    <row r="93" spans="3:8">
      <c r="C93">
        <v>82</v>
      </c>
      <c r="D93">
        <v>68.201099999999997</v>
      </c>
      <c r="E93">
        <f t="shared" si="4"/>
        <v>67.132352941176478</v>
      </c>
      <c r="F93">
        <v>32.5886</v>
      </c>
      <c r="G93">
        <f t="shared" si="5"/>
        <v>32.077919521222142</v>
      </c>
      <c r="H93" t="s">
        <v>87</v>
      </c>
    </row>
    <row r="94" spans="3:8">
      <c r="C94">
        <v>83</v>
      </c>
      <c r="D94">
        <v>151.92850000000001</v>
      </c>
      <c r="E94">
        <f t="shared" si="4"/>
        <v>149.54770060634698</v>
      </c>
      <c r="F94">
        <v>165.6936</v>
      </c>
      <c r="G94">
        <f t="shared" si="5"/>
        <v>163.09709425939053</v>
      </c>
      <c r="H94" t="s">
        <v>87</v>
      </c>
    </row>
    <row r="95" spans="3:8">
      <c r="C95">
        <v>84</v>
      </c>
      <c r="D95">
        <v>152.88679999999999</v>
      </c>
      <c r="E95">
        <f t="shared" si="4"/>
        <v>150.49098354201118</v>
      </c>
      <c r="F95">
        <v>178.04570000000001</v>
      </c>
      <c r="G95">
        <f t="shared" si="5"/>
        <v>175.25563036459565</v>
      </c>
      <c r="H95" t="s">
        <v>87</v>
      </c>
    </row>
    <row r="96" spans="3:8">
      <c r="C96">
        <v>85</v>
      </c>
      <c r="D96">
        <v>217.06110000000001</v>
      </c>
      <c r="E96">
        <f t="shared" si="4"/>
        <v>213.65963855421688</v>
      </c>
      <c r="F96">
        <v>186.39449999999999</v>
      </c>
      <c r="G96">
        <f t="shared" si="5"/>
        <v>183.47360028348689</v>
      </c>
      <c r="H96" t="s">
        <v>87</v>
      </c>
    </row>
    <row r="97" spans="3:8">
      <c r="C97">
        <v>86</v>
      </c>
      <c r="D97">
        <v>144.0615</v>
      </c>
      <c r="E97">
        <f t="shared" si="4"/>
        <v>141.80398062839595</v>
      </c>
      <c r="F97">
        <v>165.44280000000001</v>
      </c>
      <c r="G97">
        <f t="shared" si="5"/>
        <v>162.85022442712025</v>
      </c>
      <c r="H97" t="s">
        <v>87</v>
      </c>
    </row>
    <row r="98" spans="3:8">
      <c r="C98">
        <v>87</v>
      </c>
      <c r="D98">
        <v>126.3305</v>
      </c>
      <c r="E98">
        <f t="shared" si="4"/>
        <v>124.35083471139461</v>
      </c>
      <c r="F98">
        <v>153.1884</v>
      </c>
      <c r="G98">
        <f t="shared" si="5"/>
        <v>150.78785731159934</v>
      </c>
      <c r="H98" t="s">
        <v>87</v>
      </c>
    </row>
    <row r="99" spans="3:8">
      <c r="C99">
        <v>88</v>
      </c>
      <c r="D99">
        <v>180.2576</v>
      </c>
      <c r="E99">
        <f t="shared" si="4"/>
        <v>177.43286872982125</v>
      </c>
      <c r="F99">
        <v>107.73399999999999</v>
      </c>
      <c r="G99">
        <f t="shared" si="5"/>
        <v>106.04575163398692</v>
      </c>
      <c r="H99" t="s">
        <v>87</v>
      </c>
    </row>
    <row r="100" spans="3:8">
      <c r="C100">
        <v>89</v>
      </c>
      <c r="D100">
        <v>193.804</v>
      </c>
      <c r="E100">
        <f t="shared" si="4"/>
        <v>190.76698952673439</v>
      </c>
      <c r="F100">
        <v>51.659599999999998</v>
      </c>
      <c r="G100">
        <f t="shared" si="5"/>
        <v>50.850066934404282</v>
      </c>
      <c r="H100" t="s">
        <v>87</v>
      </c>
    </row>
    <row r="101" spans="3:8">
      <c r="C101">
        <v>90</v>
      </c>
      <c r="D101">
        <v>150.89019999999999</v>
      </c>
      <c r="E101">
        <f t="shared" si="4"/>
        <v>148.5256713127018</v>
      </c>
      <c r="F101">
        <v>88.564400000000006</v>
      </c>
      <c r="G101">
        <f t="shared" si="5"/>
        <v>87.17654933459329</v>
      </c>
      <c r="H101" t="s">
        <v>87</v>
      </c>
    </row>
    <row r="102" spans="3:8">
      <c r="C102">
        <v>91</v>
      </c>
      <c r="D102">
        <v>117.4563</v>
      </c>
      <c r="E102">
        <f t="shared" si="4"/>
        <v>115.61569808646351</v>
      </c>
      <c r="F102">
        <v>44.366500000000002</v>
      </c>
      <c r="G102">
        <f t="shared" si="5"/>
        <v>43.67125364201906</v>
      </c>
      <c r="H102" t="s">
        <v>87</v>
      </c>
    </row>
    <row r="103" spans="3:8">
      <c r="C103">
        <v>92</v>
      </c>
      <c r="D103">
        <v>79.099500000000006</v>
      </c>
      <c r="E103">
        <f t="shared" si="4"/>
        <v>77.859969288920396</v>
      </c>
      <c r="F103">
        <v>27.1586</v>
      </c>
      <c r="G103">
        <f t="shared" si="5"/>
        <v>26.733010473265612</v>
      </c>
      <c r="H103" t="s">
        <v>87</v>
      </c>
    </row>
    <row r="104" spans="3:8">
      <c r="C104">
        <v>93</v>
      </c>
      <c r="D104">
        <v>163.70189999999999</v>
      </c>
      <c r="E104">
        <f t="shared" si="4"/>
        <v>161.13660524450745</v>
      </c>
      <c r="F104">
        <v>178.83670000000001</v>
      </c>
      <c r="G104">
        <f t="shared" si="5"/>
        <v>176.03423497913224</v>
      </c>
      <c r="H104" t="s">
        <v>87</v>
      </c>
    </row>
    <row r="105" spans="3:8">
      <c r="C105">
        <v>94</v>
      </c>
      <c r="D105">
        <v>100.8562</v>
      </c>
      <c r="E105">
        <f t="shared" si="4"/>
        <v>99.275730372470278</v>
      </c>
      <c r="F105">
        <v>72.318100000000001</v>
      </c>
      <c r="G105">
        <f t="shared" si="5"/>
        <v>71.184837388770774</v>
      </c>
      <c r="H105" t="s">
        <v>87</v>
      </c>
    </row>
    <row r="106" spans="3:8">
      <c r="C106">
        <v>95</v>
      </c>
      <c r="D106">
        <v>58.624099999999999</v>
      </c>
      <c r="E106">
        <f t="shared" si="4"/>
        <v>57.705429561382786</v>
      </c>
      <c r="F106">
        <v>71.354200000000006</v>
      </c>
      <c r="G106">
        <f t="shared" si="5"/>
        <v>70.236042208047891</v>
      </c>
      <c r="H106" t="s">
        <v>87</v>
      </c>
    </row>
    <row r="107" spans="3:8">
      <c r="C107">
        <v>96</v>
      </c>
      <c r="D107">
        <v>196.4571</v>
      </c>
      <c r="E107">
        <f t="shared" si="4"/>
        <v>193.3785140562249</v>
      </c>
      <c r="F107">
        <v>77.600399999999993</v>
      </c>
      <c r="G107">
        <f t="shared" si="5"/>
        <v>76.384360973304979</v>
      </c>
      <c r="H107" t="s">
        <v>87</v>
      </c>
    </row>
    <row r="108" spans="3:8">
      <c r="C108">
        <v>97</v>
      </c>
      <c r="D108">
        <v>97.100399999999993</v>
      </c>
      <c r="E108">
        <f t="shared" ref="E108:E139" si="6">D108*$B$4</f>
        <v>95.57878573115994</v>
      </c>
      <c r="F108">
        <v>100.0004</v>
      </c>
      <c r="G108">
        <f t="shared" ref="G108:G139" si="7">F108*$B$4</f>
        <v>98.433341207969136</v>
      </c>
      <c r="H108" t="s">
        <v>87</v>
      </c>
    </row>
    <row r="109" spans="3:8">
      <c r="C109">
        <v>98</v>
      </c>
      <c r="D109">
        <v>135.82599999999999</v>
      </c>
      <c r="E109">
        <f t="shared" si="6"/>
        <v>133.69753523899519</v>
      </c>
      <c r="F109">
        <v>130.2491</v>
      </c>
      <c r="G109">
        <f t="shared" si="7"/>
        <v>128.20802819119618</v>
      </c>
      <c r="H109" t="s">
        <v>87</v>
      </c>
    </row>
    <row r="110" spans="3:8">
      <c r="C110">
        <v>99</v>
      </c>
      <c r="D110">
        <v>183.4324</v>
      </c>
      <c r="E110">
        <f t="shared" si="6"/>
        <v>180.55791794629499</v>
      </c>
      <c r="F110">
        <v>26.213100000000001</v>
      </c>
      <c r="G110">
        <f t="shared" si="7"/>
        <v>25.802326954878339</v>
      </c>
      <c r="H110" t="s">
        <v>87</v>
      </c>
    </row>
    <row r="111" spans="3:8">
      <c r="C111">
        <v>100</v>
      </c>
      <c r="D111">
        <v>119.69029999999999</v>
      </c>
      <c r="E111">
        <f t="shared" si="6"/>
        <v>117.81469013308134</v>
      </c>
      <c r="F111">
        <v>162.64850000000001</v>
      </c>
      <c r="G111">
        <f t="shared" si="7"/>
        <v>160.0997125757934</v>
      </c>
      <c r="H111" t="s">
        <v>87</v>
      </c>
    </row>
    <row r="112" spans="3:8">
      <c r="C112">
        <v>101</v>
      </c>
      <c r="D112">
        <v>192.85</v>
      </c>
      <c r="E112">
        <f t="shared" si="6"/>
        <v>189.82793920781165</v>
      </c>
      <c r="F112">
        <v>115.3584</v>
      </c>
      <c r="G112">
        <f t="shared" si="7"/>
        <v>113.55067328136074</v>
      </c>
      <c r="H112" t="s">
        <v>87</v>
      </c>
    </row>
    <row r="113" spans="3:8">
      <c r="C113">
        <v>102</v>
      </c>
      <c r="D113">
        <v>126.5733</v>
      </c>
      <c r="E113">
        <f t="shared" si="6"/>
        <v>124.58982990786677</v>
      </c>
      <c r="F113">
        <v>164.63470000000001</v>
      </c>
      <c r="G113">
        <f t="shared" si="7"/>
        <v>162.05478777856527</v>
      </c>
      <c r="H113" t="s">
        <v>87</v>
      </c>
    </row>
    <row r="114" spans="3:8">
      <c r="C114">
        <v>103</v>
      </c>
      <c r="D114">
        <v>182.58269999999999</v>
      </c>
      <c r="E114">
        <f t="shared" si="6"/>
        <v>179.72153319158988</v>
      </c>
      <c r="F114">
        <v>80.095799999999997</v>
      </c>
      <c r="G114">
        <f t="shared" si="7"/>
        <v>78.840656744625562</v>
      </c>
      <c r="H114" t="s">
        <v>87</v>
      </c>
    </row>
    <row r="115" spans="3:8">
      <c r="C115">
        <v>104</v>
      </c>
      <c r="D115">
        <v>186.58519999999999</v>
      </c>
      <c r="E115">
        <f t="shared" si="6"/>
        <v>183.66131191432396</v>
      </c>
      <c r="F115">
        <v>96.486500000000007</v>
      </c>
      <c r="G115">
        <f t="shared" si="7"/>
        <v>94.974505866603678</v>
      </c>
      <c r="H115" t="s">
        <v>87</v>
      </c>
    </row>
    <row r="116" spans="3:8">
      <c r="C116">
        <v>105</v>
      </c>
      <c r="D116">
        <v>135.8073</v>
      </c>
      <c r="E116">
        <f t="shared" si="6"/>
        <v>133.67912827781717</v>
      </c>
      <c r="F116">
        <v>31.058</v>
      </c>
      <c r="G116">
        <f t="shared" si="7"/>
        <v>30.571304827151746</v>
      </c>
      <c r="H116" t="s">
        <v>87</v>
      </c>
    </row>
    <row r="117" spans="3:8">
      <c r="C117">
        <v>106</v>
      </c>
      <c r="D117">
        <v>53.798099999999998</v>
      </c>
      <c r="E117">
        <f t="shared" si="6"/>
        <v>52.955055516182377</v>
      </c>
      <c r="F117">
        <v>51.576999999999998</v>
      </c>
      <c r="G117">
        <f t="shared" si="7"/>
        <v>50.768761319788965</v>
      </c>
      <c r="H117" t="s">
        <v>87</v>
      </c>
    </row>
    <row r="118" spans="3:8">
      <c r="C118">
        <v>107</v>
      </c>
      <c r="D118">
        <v>114.18640000000001</v>
      </c>
      <c r="E118">
        <f t="shared" si="6"/>
        <v>112.39703913693992</v>
      </c>
      <c r="F118">
        <v>132.68889999999999</v>
      </c>
      <c r="G118">
        <f t="shared" si="7"/>
        <v>130.60959524371998</v>
      </c>
      <c r="H118" t="s">
        <v>87</v>
      </c>
    </row>
    <row r="119" spans="3:8">
      <c r="C119">
        <v>108</v>
      </c>
      <c r="D119">
        <v>132.316</v>
      </c>
      <c r="E119">
        <f t="shared" si="6"/>
        <v>130.24253878258131</v>
      </c>
      <c r="F119">
        <v>77.248400000000004</v>
      </c>
      <c r="G119">
        <f t="shared" si="7"/>
        <v>76.03787699818885</v>
      </c>
      <c r="H119" t="s">
        <v>87</v>
      </c>
    </row>
    <row r="120" spans="3:8">
      <c r="C120">
        <v>109</v>
      </c>
      <c r="D120">
        <v>102.4325</v>
      </c>
      <c r="E120">
        <f t="shared" si="6"/>
        <v>100.82732892353729</v>
      </c>
      <c r="F120">
        <v>172.0472</v>
      </c>
      <c r="G120">
        <f t="shared" si="7"/>
        <v>169.35113001023703</v>
      </c>
      <c r="H120" t="s">
        <v>87</v>
      </c>
    </row>
    <row r="121" spans="3:8">
      <c r="C121">
        <v>110</v>
      </c>
      <c r="D121">
        <v>88.228399999999993</v>
      </c>
      <c r="E121">
        <f t="shared" si="6"/>
        <v>86.84581463107331</v>
      </c>
      <c r="F121">
        <v>41.731900000000003</v>
      </c>
      <c r="G121">
        <f t="shared" si="7"/>
        <v>41.077939207811646</v>
      </c>
      <c r="H121" t="s">
        <v>87</v>
      </c>
    </row>
    <row r="122" spans="3:8">
      <c r="C122">
        <v>111</v>
      </c>
      <c r="D122">
        <v>209.41390000000001</v>
      </c>
      <c r="E122">
        <f t="shared" si="6"/>
        <v>206.13227419481851</v>
      </c>
      <c r="F122">
        <v>187.0658</v>
      </c>
      <c r="G122">
        <f t="shared" si="7"/>
        <v>184.13438065989448</v>
      </c>
      <c r="H122" t="s">
        <v>87</v>
      </c>
    </row>
    <row r="123" spans="3:8">
      <c r="C123">
        <v>112</v>
      </c>
      <c r="D123">
        <v>133.40479999999999</v>
      </c>
      <c r="E123">
        <f t="shared" si="6"/>
        <v>131.31427671470195</v>
      </c>
      <c r="F123">
        <v>112.17700000000001</v>
      </c>
      <c r="G123">
        <f t="shared" si="7"/>
        <v>110.41912749035359</v>
      </c>
      <c r="H123" t="s">
        <v>87</v>
      </c>
    </row>
    <row r="124" spans="3:8">
      <c r="C124">
        <v>113</v>
      </c>
      <c r="D124">
        <v>222.2276</v>
      </c>
      <c r="E124">
        <f t="shared" si="6"/>
        <v>218.74517678557368</v>
      </c>
      <c r="F124">
        <v>140.05520000000001</v>
      </c>
      <c r="G124">
        <f t="shared" si="7"/>
        <v>137.86046145365779</v>
      </c>
      <c r="H124" t="s">
        <v>87</v>
      </c>
    </row>
    <row r="125" spans="3:8">
      <c r="C125">
        <v>114</v>
      </c>
      <c r="D125">
        <v>125.8895</v>
      </c>
      <c r="E125">
        <f t="shared" si="6"/>
        <v>123.91674541302466</v>
      </c>
      <c r="F125">
        <v>188.9151</v>
      </c>
      <c r="G125">
        <f t="shared" si="7"/>
        <v>185.95470115757146</v>
      </c>
      <c r="H125" t="s">
        <v>87</v>
      </c>
    </row>
    <row r="126" spans="3:8">
      <c r="C126">
        <v>115</v>
      </c>
      <c r="D126">
        <v>199.20820000000001</v>
      </c>
      <c r="E126">
        <f t="shared" si="6"/>
        <v>196.08650287424209</v>
      </c>
      <c r="F126">
        <v>70.070800000000006</v>
      </c>
      <c r="G126">
        <f t="shared" si="7"/>
        <v>68.972753760138602</v>
      </c>
      <c r="H126" t="s">
        <v>87</v>
      </c>
    </row>
    <row r="127" spans="3:8">
      <c r="C127">
        <v>116</v>
      </c>
      <c r="D127">
        <v>126.9776</v>
      </c>
      <c r="E127">
        <f t="shared" si="6"/>
        <v>124.98779431451295</v>
      </c>
      <c r="F127">
        <v>91.225300000000004</v>
      </c>
      <c r="G127">
        <f t="shared" si="7"/>
        <v>89.795751633986939</v>
      </c>
      <c r="H127" t="s">
        <v>87</v>
      </c>
    </row>
    <row r="128" spans="3:8">
      <c r="C128">
        <v>117</v>
      </c>
      <c r="D128">
        <v>206.85169999999999</v>
      </c>
      <c r="E128">
        <f t="shared" si="6"/>
        <v>203.61022521458383</v>
      </c>
      <c r="F128">
        <v>99.628299999999996</v>
      </c>
      <c r="G128">
        <f t="shared" si="7"/>
        <v>98.067072210410274</v>
      </c>
      <c r="H128" t="s">
        <v>87</v>
      </c>
    </row>
    <row r="129" spans="3:8">
      <c r="C129">
        <v>118</v>
      </c>
      <c r="D129">
        <v>196.48500000000001</v>
      </c>
      <c r="E129">
        <f t="shared" si="6"/>
        <v>193.40597684857079</v>
      </c>
      <c r="F129">
        <v>149.58080000000001</v>
      </c>
      <c r="G129">
        <f t="shared" si="7"/>
        <v>147.23679029844871</v>
      </c>
      <c r="H129" t="s">
        <v>87</v>
      </c>
    </row>
    <row r="130" spans="3:8">
      <c r="C130">
        <v>119</v>
      </c>
      <c r="D130">
        <v>123.21469999999999</v>
      </c>
      <c r="E130">
        <f t="shared" si="6"/>
        <v>121.28386093393181</v>
      </c>
      <c r="F130">
        <v>158.64009999999999</v>
      </c>
      <c r="G130">
        <f t="shared" si="7"/>
        <v>156.15412630915822</v>
      </c>
      <c r="H130" t="s">
        <v>87</v>
      </c>
    </row>
    <row r="131" spans="3:8">
      <c r="C131">
        <v>120</v>
      </c>
      <c r="D131">
        <v>91.907700000000006</v>
      </c>
      <c r="E131">
        <f t="shared" si="6"/>
        <v>90.46745806756438</v>
      </c>
      <c r="F131">
        <v>38.737000000000002</v>
      </c>
      <c r="G131">
        <f t="shared" si="7"/>
        <v>38.129970863847554</v>
      </c>
      <c r="H131" t="s">
        <v>87</v>
      </c>
    </row>
    <row r="132" spans="3:8">
      <c r="C132">
        <v>121</v>
      </c>
      <c r="D132">
        <v>203.339</v>
      </c>
      <c r="E132">
        <f t="shared" si="6"/>
        <v>200.15257106858809</v>
      </c>
      <c r="F132">
        <v>51.7455</v>
      </c>
      <c r="G132">
        <f t="shared" si="7"/>
        <v>50.934620836286328</v>
      </c>
      <c r="H132" t="s">
        <v>87</v>
      </c>
    </row>
    <row r="133" spans="3:8">
      <c r="C133">
        <v>122</v>
      </c>
      <c r="D133">
        <v>234.16499999999999</v>
      </c>
      <c r="E133">
        <f t="shared" si="6"/>
        <v>230.49551145759509</v>
      </c>
      <c r="F133">
        <v>82.058999999999997</v>
      </c>
      <c r="G133">
        <f t="shared" si="7"/>
        <v>80.773092369477908</v>
      </c>
      <c r="H133" t="s">
        <v>87</v>
      </c>
    </row>
    <row r="134" spans="3:8">
      <c r="C134">
        <v>123</v>
      </c>
      <c r="D134">
        <v>113.54770000000001</v>
      </c>
      <c r="E134">
        <f t="shared" si="6"/>
        <v>111.76834790140957</v>
      </c>
      <c r="F134">
        <v>31.4697</v>
      </c>
      <c r="G134">
        <f t="shared" si="7"/>
        <v>30.976553271911175</v>
      </c>
      <c r="H134" t="s">
        <v>87</v>
      </c>
    </row>
    <row r="135" spans="3:8">
      <c r="C135">
        <v>124</v>
      </c>
      <c r="D135">
        <v>180.2253</v>
      </c>
      <c r="E135">
        <f t="shared" si="6"/>
        <v>177.40107488778645</v>
      </c>
      <c r="F135">
        <v>109.1549</v>
      </c>
      <c r="G135">
        <f t="shared" si="7"/>
        <v>107.44438538467597</v>
      </c>
      <c r="H135" t="s">
        <v>87</v>
      </c>
    </row>
    <row r="136" spans="3:8">
      <c r="C136">
        <v>125</v>
      </c>
      <c r="D136">
        <v>135.09710000000001</v>
      </c>
      <c r="E136">
        <f t="shared" si="6"/>
        <v>132.98005748484135</v>
      </c>
      <c r="F136">
        <v>78.086799999999997</v>
      </c>
      <c r="G136">
        <f t="shared" si="7"/>
        <v>76.863138829829126</v>
      </c>
      <c r="H136" t="s">
        <v>87</v>
      </c>
    </row>
    <row r="137" spans="3:8">
      <c r="C137">
        <v>126</v>
      </c>
      <c r="D137">
        <v>211.69909999999999</v>
      </c>
      <c r="E137">
        <f t="shared" si="6"/>
        <v>208.38166391054415</v>
      </c>
      <c r="F137">
        <v>51.3367</v>
      </c>
      <c r="G137">
        <f t="shared" si="7"/>
        <v>50.532226947003707</v>
      </c>
      <c r="H137" t="s">
        <v>87</v>
      </c>
    </row>
    <row r="138" spans="3:8">
      <c r="C138">
        <v>127</v>
      </c>
      <c r="D138">
        <v>199.15770000000001</v>
      </c>
      <c r="E138">
        <f t="shared" si="6"/>
        <v>196.03679423576662</v>
      </c>
      <c r="F138">
        <v>56.894100000000002</v>
      </c>
      <c r="G138">
        <f t="shared" si="7"/>
        <v>56.002539570044888</v>
      </c>
      <c r="H138" t="s">
        <v>87</v>
      </c>
    </row>
    <row r="139" spans="3:8">
      <c r="C139">
        <v>128</v>
      </c>
      <c r="D139">
        <v>82.447199999999995</v>
      </c>
      <c r="E139">
        <f t="shared" si="6"/>
        <v>81.155209071580444</v>
      </c>
      <c r="F139">
        <v>173.16059999999999</v>
      </c>
      <c r="G139">
        <f t="shared" si="7"/>
        <v>170.4470824474368</v>
      </c>
      <c r="H139" t="s">
        <v>87</v>
      </c>
    </row>
    <row r="140" spans="3:8">
      <c r="C140">
        <v>129</v>
      </c>
      <c r="D140">
        <v>217.2242</v>
      </c>
      <c r="E140">
        <f t="shared" ref="E140:E161" si="8">D140*$B$4</f>
        <v>213.82018269155051</v>
      </c>
      <c r="F140">
        <v>134.7903</v>
      </c>
      <c r="G140">
        <f t="shared" ref="G140:G161" si="9">F140*$B$4</f>
        <v>132.67806520198442</v>
      </c>
      <c r="H140" t="s">
        <v>87</v>
      </c>
    </row>
    <row r="141" spans="3:8">
      <c r="C141">
        <v>130</v>
      </c>
      <c r="D141">
        <v>242.0352</v>
      </c>
      <c r="E141">
        <f t="shared" si="8"/>
        <v>238.24238128986536</v>
      </c>
      <c r="F141">
        <v>100.2342</v>
      </c>
      <c r="G141">
        <f t="shared" si="9"/>
        <v>98.663477439168446</v>
      </c>
      <c r="H141" t="s">
        <v>87</v>
      </c>
    </row>
    <row r="142" spans="3:8">
      <c r="C142">
        <v>131</v>
      </c>
      <c r="D142">
        <v>149.79820000000001</v>
      </c>
      <c r="E142">
        <f t="shared" si="8"/>
        <v>147.45078352626192</v>
      </c>
      <c r="F142">
        <v>174.3261</v>
      </c>
      <c r="G142">
        <f t="shared" si="9"/>
        <v>171.59431845027169</v>
      </c>
      <c r="H142" t="s">
        <v>87</v>
      </c>
    </row>
    <row r="143" spans="3:8">
      <c r="C143">
        <v>132</v>
      </c>
      <c r="D143">
        <v>221.5505</v>
      </c>
      <c r="E143">
        <f t="shared" si="8"/>
        <v>218.07868729821246</v>
      </c>
      <c r="F143">
        <v>39.369900000000001</v>
      </c>
      <c r="G143">
        <f t="shared" si="9"/>
        <v>38.75295298842429</v>
      </c>
      <c r="H143" t="s">
        <v>87</v>
      </c>
    </row>
    <row r="144" spans="3:8">
      <c r="C144">
        <v>133</v>
      </c>
      <c r="D144">
        <v>164.0771</v>
      </c>
      <c r="E144">
        <f t="shared" si="8"/>
        <v>161.50592566343809</v>
      </c>
      <c r="F144">
        <v>146.50620000000001</v>
      </c>
      <c r="G144">
        <f t="shared" si="9"/>
        <v>144.2103708953461</v>
      </c>
      <c r="H144" t="s">
        <v>87</v>
      </c>
    </row>
    <row r="145" spans="3:8">
      <c r="C145">
        <v>134</v>
      </c>
      <c r="D145">
        <v>80.022000000000006</v>
      </c>
      <c r="E145">
        <f t="shared" si="8"/>
        <v>78.768013229388146</v>
      </c>
      <c r="F145">
        <v>144.95670000000001</v>
      </c>
      <c r="G145">
        <f t="shared" si="9"/>
        <v>142.68515237420272</v>
      </c>
      <c r="H145" t="s">
        <v>87</v>
      </c>
    </row>
    <row r="146" spans="3:8">
      <c r="C146">
        <v>135</v>
      </c>
      <c r="D146">
        <v>88.773399999999995</v>
      </c>
      <c r="E146">
        <f t="shared" si="8"/>
        <v>87.382274194818493</v>
      </c>
      <c r="F146">
        <v>115.8309</v>
      </c>
      <c r="G146">
        <f t="shared" si="9"/>
        <v>114.01576895818569</v>
      </c>
      <c r="H146" t="s">
        <v>87</v>
      </c>
    </row>
    <row r="147" spans="3:8">
      <c r="C147">
        <v>136</v>
      </c>
      <c r="D147">
        <v>128.94919999999999</v>
      </c>
      <c r="E147">
        <f t="shared" si="8"/>
        <v>126.9284983069533</v>
      </c>
      <c r="F147">
        <v>52.760399999999997</v>
      </c>
      <c r="G147">
        <f t="shared" si="9"/>
        <v>51.933616820222063</v>
      </c>
      <c r="H147" t="s">
        <v>87</v>
      </c>
    </row>
    <row r="148" spans="3:8">
      <c r="C148">
        <v>137</v>
      </c>
      <c r="D148">
        <v>195.24889999999999</v>
      </c>
      <c r="E148">
        <f t="shared" si="8"/>
        <v>192.1892471848177</v>
      </c>
      <c r="F148">
        <v>121.7343</v>
      </c>
      <c r="G148">
        <f t="shared" si="9"/>
        <v>119.82665957949446</v>
      </c>
      <c r="H148" t="s">
        <v>87</v>
      </c>
    </row>
    <row r="149" spans="3:8">
      <c r="C149">
        <v>138</v>
      </c>
      <c r="D149">
        <v>210.16329999999999</v>
      </c>
      <c r="E149">
        <f t="shared" si="8"/>
        <v>206.86993070320497</v>
      </c>
      <c r="F149">
        <v>72.089500000000001</v>
      </c>
      <c r="G149">
        <f t="shared" si="9"/>
        <v>70.959819670840233</v>
      </c>
      <c r="H149" t="s">
        <v>87</v>
      </c>
    </row>
    <row r="150" spans="3:8">
      <c r="C150">
        <v>139</v>
      </c>
      <c r="D150">
        <v>532</v>
      </c>
      <c r="E150">
        <f t="shared" si="8"/>
        <v>523.66328057327348</v>
      </c>
      <c r="F150">
        <v>541</v>
      </c>
      <c r="G150">
        <f t="shared" si="9"/>
        <v>532.52224584612964</v>
      </c>
      <c r="H150" t="s">
        <v>101</v>
      </c>
    </row>
    <row r="151" spans="3:8">
      <c r="C151">
        <v>140</v>
      </c>
      <c r="D151">
        <v>111.7937</v>
      </c>
      <c r="E151">
        <f t="shared" si="8"/>
        <v>110.04183400267739</v>
      </c>
      <c r="F151">
        <v>57.5045</v>
      </c>
      <c r="G151">
        <f t="shared" si="9"/>
        <v>56.603374281439486</v>
      </c>
      <c r="H151" t="s">
        <v>87</v>
      </c>
    </row>
    <row r="152" spans="3:8">
      <c r="C152">
        <v>141</v>
      </c>
      <c r="D152">
        <v>153.60839999999999</v>
      </c>
      <c r="E152">
        <f t="shared" si="8"/>
        <v>151.2012756909993</v>
      </c>
      <c r="F152">
        <v>171.45529999999999</v>
      </c>
      <c r="G152">
        <f t="shared" si="9"/>
        <v>168.76850539412553</v>
      </c>
      <c r="H152" t="s">
        <v>87</v>
      </c>
    </row>
    <row r="153" spans="3:8">
      <c r="C153">
        <v>142</v>
      </c>
      <c r="D153">
        <v>67.450400000000002</v>
      </c>
      <c r="E153">
        <f t="shared" si="8"/>
        <v>66.393416804472793</v>
      </c>
      <c r="F153">
        <v>33.932600000000001</v>
      </c>
      <c r="G153">
        <f t="shared" si="9"/>
        <v>33.400858335301997</v>
      </c>
      <c r="H153" t="s">
        <v>87</v>
      </c>
    </row>
    <row r="154" spans="3:8">
      <c r="C154">
        <v>143</v>
      </c>
      <c r="D154">
        <v>71.670900000000003</v>
      </c>
      <c r="E154">
        <f t="shared" si="8"/>
        <v>70.54777935270495</v>
      </c>
      <c r="F154">
        <v>62.4953</v>
      </c>
      <c r="G154">
        <f t="shared" si="9"/>
        <v>61.515965824080638</v>
      </c>
      <c r="H154" t="s">
        <v>87</v>
      </c>
    </row>
    <row r="155" spans="3:8">
      <c r="C155">
        <v>144</v>
      </c>
      <c r="D155">
        <v>76.440799999999996</v>
      </c>
      <c r="E155">
        <f t="shared" si="8"/>
        <v>75.242932514371205</v>
      </c>
      <c r="F155">
        <v>30.977</v>
      </c>
      <c r="G155">
        <f t="shared" si="9"/>
        <v>30.491574139696041</v>
      </c>
      <c r="H155" t="s">
        <v>87</v>
      </c>
    </row>
    <row r="156" spans="3:8">
      <c r="C156">
        <v>145</v>
      </c>
      <c r="D156">
        <v>181.6585</v>
      </c>
      <c r="E156">
        <f t="shared" si="8"/>
        <v>178.81181589101504</v>
      </c>
      <c r="F156">
        <v>95.767600000000002</v>
      </c>
      <c r="G156">
        <f t="shared" si="9"/>
        <v>94.266871407197428</v>
      </c>
      <c r="H156" t="s">
        <v>87</v>
      </c>
    </row>
    <row r="157" spans="3:8">
      <c r="C157">
        <v>146</v>
      </c>
      <c r="D157">
        <v>146.0643</v>
      </c>
      <c r="E157">
        <f t="shared" si="8"/>
        <v>143.77539570044885</v>
      </c>
      <c r="F157">
        <v>24.218299999999999</v>
      </c>
      <c r="G157">
        <f t="shared" si="9"/>
        <v>23.838786518623515</v>
      </c>
      <c r="H157" t="s">
        <v>87</v>
      </c>
    </row>
    <row r="158" spans="3:8">
      <c r="C158">
        <v>147</v>
      </c>
      <c r="D158">
        <v>86.803799999999995</v>
      </c>
      <c r="E158">
        <f t="shared" si="8"/>
        <v>85.443538861327667</v>
      </c>
      <c r="F158">
        <v>171.83099999999999</v>
      </c>
      <c r="G158">
        <f t="shared" si="9"/>
        <v>169.13831797779352</v>
      </c>
      <c r="H158" t="s">
        <v>87</v>
      </c>
    </row>
    <row r="159" spans="3:8">
      <c r="C159">
        <v>148</v>
      </c>
      <c r="D159">
        <v>564</v>
      </c>
      <c r="E159">
        <f t="shared" si="8"/>
        <v>555.16182376565087</v>
      </c>
      <c r="F159">
        <v>588</v>
      </c>
      <c r="G159">
        <f t="shared" si="9"/>
        <v>578.7857311599339</v>
      </c>
      <c r="H159" t="s">
        <v>101</v>
      </c>
    </row>
    <row r="160" spans="3:8">
      <c r="C160">
        <v>149</v>
      </c>
      <c r="D160">
        <v>78.635999999999996</v>
      </c>
      <c r="E160">
        <f t="shared" si="8"/>
        <v>77.403732577368302</v>
      </c>
      <c r="F160">
        <v>37.5929</v>
      </c>
      <c r="G160">
        <f t="shared" si="9"/>
        <v>37.003799511772584</v>
      </c>
      <c r="H160" s="9" t="s">
        <v>87</v>
      </c>
    </row>
    <row r="161" spans="3:8">
      <c r="C161">
        <v>150</v>
      </c>
      <c r="D161">
        <v>60.664999999999999</v>
      </c>
      <c r="E161">
        <f t="shared" si="8"/>
        <v>59.714347586424132</v>
      </c>
      <c r="F161">
        <v>73.330299999999994</v>
      </c>
      <c r="G161">
        <f t="shared" si="9"/>
        <v>72.18117568312465</v>
      </c>
      <c r="H161" s="9" t="s">
        <v>87</v>
      </c>
    </row>
    <row r="162" spans="3:8">
      <c r="C162" t="s">
        <v>41</v>
      </c>
      <c r="D162">
        <f>MEDIAN(D12:D161)</f>
        <v>147.93125000000001</v>
      </c>
      <c r="E162">
        <f t="shared" ref="E162:G162" si="10">MEDIAN(E12:E161)</f>
        <v>145.61308961335538</v>
      </c>
      <c r="F162">
        <f t="shared" si="10"/>
        <v>110.80070000000001</v>
      </c>
      <c r="G162">
        <f t="shared" si="10"/>
        <v>109.06439483423893</v>
      </c>
      <c r="H162" s="9" t="s">
        <v>87</v>
      </c>
    </row>
    <row r="163" spans="3:8">
      <c r="C163" t="s">
        <v>39</v>
      </c>
      <c r="D163">
        <f>MAX(D12:D161)</f>
        <v>564</v>
      </c>
      <c r="E163">
        <f t="shared" ref="E163:G163" si="11">MAX(E12:E161)</f>
        <v>555.16182376565087</v>
      </c>
      <c r="F163">
        <f t="shared" si="11"/>
        <v>588</v>
      </c>
      <c r="G163">
        <f t="shared" si="11"/>
        <v>578.7857311599339</v>
      </c>
      <c r="H163" s="9" t="s">
        <v>87</v>
      </c>
    </row>
    <row r="164" spans="3:8">
      <c r="C164" t="s">
        <v>38</v>
      </c>
      <c r="D164">
        <f>MIN(D12:D163)</f>
        <v>50.223300000000002</v>
      </c>
      <c r="E164">
        <f t="shared" ref="E164:G164" si="12">MIN(E12:E163)</f>
        <v>49.43627450980393</v>
      </c>
      <c r="F164">
        <f t="shared" si="12"/>
        <v>22.087199999999999</v>
      </c>
      <c r="G164">
        <f t="shared" si="12"/>
        <v>21.741081974958657</v>
      </c>
      <c r="H164" s="9" t="s">
        <v>87</v>
      </c>
    </row>
    <row r="165" spans="3:8">
      <c r="C165" t="s">
        <v>26</v>
      </c>
      <c r="D165">
        <f>AVERAGE(D12:D164)</f>
        <v>153.84875915032688</v>
      </c>
      <c r="E165">
        <f t="shared" ref="E165:G165" si="13">AVERAGE(E12:E164)</f>
        <v>151.4378682871947</v>
      </c>
      <c r="F165">
        <f t="shared" si="13"/>
        <v>113.7230888888889</v>
      </c>
      <c r="G165">
        <f t="shared" si="13"/>
        <v>111.94098835428862</v>
      </c>
      <c r="H165" s="9" t="s">
        <v>87</v>
      </c>
    </row>
    <row r="166" spans="3:8">
      <c r="C166" t="s">
        <v>113</v>
      </c>
      <c r="D166">
        <f>_xlfn.STDEV.S(D12:D161)</f>
        <v>68.580652962529769</v>
      </c>
      <c r="E166">
        <f t="shared" ref="E166:G166" si="14">_xlfn.STDEV.S(E12:E161)</f>
        <v>67.505958109427752</v>
      </c>
      <c r="F166">
        <f t="shared" si="14"/>
        <v>72.930615091140552</v>
      </c>
      <c r="G166">
        <f t="shared" si="14"/>
        <v>71.78775404671687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3"/>
  <sheetViews>
    <sheetView topLeftCell="A155" workbookViewId="0">
      <selection activeCell="K21" sqref="K21"/>
    </sheetView>
  </sheetViews>
  <sheetFormatPr baseColWidth="10" defaultRowHeight="15"/>
  <sheetData>
    <row r="1" spans="1:8">
      <c r="A1" s="8" t="s">
        <v>73</v>
      </c>
      <c r="D1" s="8" t="s">
        <v>181</v>
      </c>
    </row>
    <row r="2" spans="1:8">
      <c r="A2" t="s">
        <v>20</v>
      </c>
      <c r="B2" t="s">
        <v>82</v>
      </c>
    </row>
    <row r="3" spans="1:8">
      <c r="A3" s="6">
        <v>262.10599999999999</v>
      </c>
      <c r="B3" s="6">
        <v>250</v>
      </c>
    </row>
    <row r="4" spans="1:8">
      <c r="A4" s="6">
        <v>1</v>
      </c>
      <c r="B4" s="6">
        <f>B3/262</f>
        <v>0.95419847328244278</v>
      </c>
    </row>
    <row r="7" spans="1:8">
      <c r="C7" t="s">
        <v>58</v>
      </c>
      <c r="D7" t="s">
        <v>77</v>
      </c>
      <c r="E7" s="3" t="s">
        <v>84</v>
      </c>
      <c r="F7" t="s">
        <v>85</v>
      </c>
      <c r="G7" t="s">
        <v>86</v>
      </c>
      <c r="H7" s="3" t="s">
        <v>76</v>
      </c>
    </row>
    <row r="8" spans="1:8">
      <c r="C8">
        <v>1</v>
      </c>
      <c r="D8" s="6">
        <v>200.59030000000001</v>
      </c>
      <c r="E8" s="6">
        <f>D8*0.95</f>
        <v>190.56078500000001</v>
      </c>
      <c r="F8" s="6">
        <v>67.8857</v>
      </c>
      <c r="G8" s="6">
        <f t="shared" ref="G8:G39" si="0">F8*$B$4</f>
        <v>64.776431297709919</v>
      </c>
      <c r="H8" t="s">
        <v>87</v>
      </c>
    </row>
    <row r="9" spans="1:8">
      <c r="C9">
        <v>2</v>
      </c>
      <c r="D9" s="6">
        <v>43.252099999999999</v>
      </c>
      <c r="E9" s="6">
        <f t="shared" ref="E9:E72" si="1">D9*0.95</f>
        <v>41.089494999999999</v>
      </c>
      <c r="F9" s="6">
        <v>254.5916</v>
      </c>
      <c r="G9" s="6">
        <f t="shared" si="0"/>
        <v>242.93091603053435</v>
      </c>
      <c r="H9" t="s">
        <v>87</v>
      </c>
    </row>
    <row r="10" spans="1:8">
      <c r="C10">
        <v>3</v>
      </c>
      <c r="D10" s="6">
        <v>408.36250000000001</v>
      </c>
      <c r="E10" s="6">
        <f t="shared" si="1"/>
        <v>387.94437499999998</v>
      </c>
      <c r="F10" s="6">
        <v>62.729300000000002</v>
      </c>
      <c r="G10" s="6">
        <f t="shared" si="0"/>
        <v>59.85620229007634</v>
      </c>
      <c r="H10" t="s">
        <v>87</v>
      </c>
    </row>
    <row r="11" spans="1:8">
      <c r="C11">
        <v>4</v>
      </c>
      <c r="D11" s="6">
        <v>426.3689</v>
      </c>
      <c r="E11" s="6">
        <f t="shared" si="1"/>
        <v>405.050455</v>
      </c>
      <c r="F11" s="6">
        <v>71.433599999999998</v>
      </c>
      <c r="G11" s="6">
        <f t="shared" si="0"/>
        <v>68.161832061068708</v>
      </c>
      <c r="H11" t="s">
        <v>87</v>
      </c>
    </row>
    <row r="12" spans="1:8">
      <c r="C12">
        <v>5</v>
      </c>
      <c r="D12" s="6">
        <v>232.0898</v>
      </c>
      <c r="E12" s="6">
        <f t="shared" si="1"/>
        <v>220.48531</v>
      </c>
      <c r="F12" s="6">
        <v>206.495</v>
      </c>
      <c r="G12" s="6">
        <f t="shared" si="0"/>
        <v>197.03721374045801</v>
      </c>
      <c r="H12" t="s">
        <v>87</v>
      </c>
    </row>
    <row r="13" spans="1:8">
      <c r="C13">
        <v>6</v>
      </c>
      <c r="D13" s="6">
        <v>231.40010000000001</v>
      </c>
      <c r="E13" s="6">
        <f t="shared" si="1"/>
        <v>219.830095</v>
      </c>
      <c r="F13" s="6">
        <v>79.019000000000005</v>
      </c>
      <c r="G13" s="6">
        <f t="shared" si="0"/>
        <v>75.399809160305352</v>
      </c>
      <c r="H13" t="s">
        <v>87</v>
      </c>
    </row>
    <row r="14" spans="1:8">
      <c r="C14">
        <v>7</v>
      </c>
      <c r="D14" s="6">
        <v>166.54390000000001</v>
      </c>
      <c r="E14" s="6">
        <f t="shared" si="1"/>
        <v>158.21670499999999</v>
      </c>
      <c r="F14" s="6">
        <v>295.44459999999998</v>
      </c>
      <c r="G14" s="6">
        <f t="shared" si="0"/>
        <v>281.91278625954197</v>
      </c>
      <c r="H14" t="s">
        <v>87</v>
      </c>
    </row>
    <row r="15" spans="1:8">
      <c r="C15">
        <v>8</v>
      </c>
      <c r="D15" s="6">
        <v>407.22300000000001</v>
      </c>
      <c r="E15" s="6">
        <f t="shared" si="1"/>
        <v>386.86185</v>
      </c>
      <c r="F15" s="6">
        <v>295.26409999999998</v>
      </c>
      <c r="G15" s="6">
        <f t="shared" si="0"/>
        <v>281.74055343511452</v>
      </c>
      <c r="H15" t="s">
        <v>87</v>
      </c>
    </row>
    <row r="16" spans="1:8">
      <c r="C16">
        <v>9</v>
      </c>
      <c r="D16" s="6">
        <v>180.0376</v>
      </c>
      <c r="E16" s="6">
        <f t="shared" si="1"/>
        <v>171.03572</v>
      </c>
      <c r="F16" s="6">
        <v>266.7319</v>
      </c>
      <c r="G16" s="6">
        <f t="shared" si="0"/>
        <v>254.51517175572519</v>
      </c>
      <c r="H16" t="s">
        <v>87</v>
      </c>
    </row>
    <row r="17" spans="3:8">
      <c r="C17">
        <v>10</v>
      </c>
      <c r="D17" s="6">
        <v>69.594800000000006</v>
      </c>
      <c r="E17" s="6">
        <f t="shared" si="1"/>
        <v>66.11506</v>
      </c>
      <c r="F17" s="6">
        <v>94.959599999999995</v>
      </c>
      <c r="G17" s="6">
        <f t="shared" si="0"/>
        <v>90.610305343511442</v>
      </c>
      <c r="H17" t="s">
        <v>87</v>
      </c>
    </row>
    <row r="18" spans="3:8">
      <c r="C18">
        <v>11</v>
      </c>
      <c r="D18" s="6">
        <v>355.9479</v>
      </c>
      <c r="E18" s="6">
        <f t="shared" si="1"/>
        <v>338.15050500000001</v>
      </c>
      <c r="F18" s="6">
        <v>247.88159999999999</v>
      </c>
      <c r="G18" s="6">
        <f t="shared" si="0"/>
        <v>236.52824427480917</v>
      </c>
      <c r="H18" t="s">
        <v>87</v>
      </c>
    </row>
    <row r="19" spans="3:8">
      <c r="C19">
        <v>12</v>
      </c>
      <c r="D19" s="6">
        <v>188.8082</v>
      </c>
      <c r="E19" s="6">
        <f t="shared" si="1"/>
        <v>179.36778999999999</v>
      </c>
      <c r="F19" s="6">
        <v>205.57849999999999</v>
      </c>
      <c r="G19" s="6">
        <f t="shared" si="0"/>
        <v>196.16269083969465</v>
      </c>
      <c r="H19" t="s">
        <v>87</v>
      </c>
    </row>
    <row r="20" spans="3:8">
      <c r="C20">
        <v>13</v>
      </c>
      <c r="D20" s="6">
        <v>125.4439</v>
      </c>
      <c r="E20" s="6">
        <f t="shared" si="1"/>
        <v>119.17170499999999</v>
      </c>
      <c r="F20" s="6">
        <v>341.89240000000001</v>
      </c>
      <c r="G20" s="6">
        <f t="shared" si="0"/>
        <v>326.23320610687023</v>
      </c>
      <c r="H20" t="s">
        <v>87</v>
      </c>
    </row>
    <row r="21" spans="3:8">
      <c r="C21">
        <v>14</v>
      </c>
      <c r="D21" s="6">
        <v>194.87440000000001</v>
      </c>
      <c r="E21" s="6">
        <f t="shared" si="1"/>
        <v>185.13068000000001</v>
      </c>
      <c r="F21" s="6">
        <v>244.69739999999999</v>
      </c>
      <c r="G21" s="6">
        <f t="shared" si="0"/>
        <v>233.48988549618321</v>
      </c>
      <c r="H21" t="s">
        <v>87</v>
      </c>
    </row>
    <row r="22" spans="3:8">
      <c r="C22">
        <v>15</v>
      </c>
      <c r="D22" s="6">
        <v>63.282499999999999</v>
      </c>
      <c r="E22" s="6">
        <f t="shared" si="1"/>
        <v>60.118374999999993</v>
      </c>
      <c r="F22" s="6">
        <v>290.0992</v>
      </c>
      <c r="G22" s="6">
        <f t="shared" si="0"/>
        <v>276.81221374045805</v>
      </c>
      <c r="H22" t="s">
        <v>87</v>
      </c>
    </row>
    <row r="23" spans="3:8">
      <c r="C23">
        <v>16</v>
      </c>
      <c r="D23" s="6">
        <v>78.4846</v>
      </c>
      <c r="E23" s="6">
        <f t="shared" si="1"/>
        <v>74.560369999999992</v>
      </c>
      <c r="F23" s="6">
        <v>186.13929999999999</v>
      </c>
      <c r="G23" s="6">
        <f t="shared" si="0"/>
        <v>177.61383587786258</v>
      </c>
      <c r="H23" t="s">
        <v>87</v>
      </c>
    </row>
    <row r="24" spans="3:8">
      <c r="C24">
        <v>17</v>
      </c>
      <c r="D24" s="6">
        <v>425.1977</v>
      </c>
      <c r="E24" s="6">
        <f t="shared" si="1"/>
        <v>403.937815</v>
      </c>
      <c r="F24" s="6">
        <v>179.7175</v>
      </c>
      <c r="G24" s="6">
        <f t="shared" si="0"/>
        <v>171.48616412213741</v>
      </c>
      <c r="H24" t="s">
        <v>87</v>
      </c>
    </row>
    <row r="25" spans="3:8">
      <c r="C25">
        <v>18</v>
      </c>
      <c r="D25" s="6">
        <v>431.22559999999999</v>
      </c>
      <c r="E25" s="6">
        <f t="shared" si="1"/>
        <v>409.66431999999998</v>
      </c>
      <c r="F25" s="6">
        <v>297.59410000000003</v>
      </c>
      <c r="G25" s="6">
        <f t="shared" si="0"/>
        <v>283.96383587786261</v>
      </c>
      <c r="H25" t="s">
        <v>87</v>
      </c>
    </row>
    <row r="26" spans="3:8">
      <c r="C26">
        <v>19</v>
      </c>
      <c r="D26" s="6">
        <v>268.1893</v>
      </c>
      <c r="E26" s="6">
        <f t="shared" si="1"/>
        <v>254.77983499999999</v>
      </c>
      <c r="F26" s="6">
        <v>75.040899999999993</v>
      </c>
      <c r="G26" s="6">
        <f t="shared" si="0"/>
        <v>71.603912213740458</v>
      </c>
      <c r="H26" t="s">
        <v>87</v>
      </c>
    </row>
    <row r="27" spans="3:8">
      <c r="C27">
        <v>20</v>
      </c>
      <c r="D27" s="6">
        <v>47.585599999999999</v>
      </c>
      <c r="E27" s="6">
        <f t="shared" si="1"/>
        <v>45.206319999999998</v>
      </c>
      <c r="F27" s="6">
        <v>89.951300000000003</v>
      </c>
      <c r="G27" s="6">
        <f t="shared" si="0"/>
        <v>85.831393129771001</v>
      </c>
      <c r="H27" t="s">
        <v>87</v>
      </c>
    </row>
    <row r="28" spans="3:8">
      <c r="C28">
        <v>21</v>
      </c>
      <c r="D28" s="6">
        <v>122.4858</v>
      </c>
      <c r="E28" s="6">
        <f t="shared" si="1"/>
        <v>116.36151</v>
      </c>
      <c r="F28" s="6">
        <v>102.0166</v>
      </c>
      <c r="G28" s="6">
        <f t="shared" si="0"/>
        <v>97.344083969465643</v>
      </c>
      <c r="H28" t="s">
        <v>87</v>
      </c>
    </row>
    <row r="29" spans="3:8">
      <c r="C29">
        <v>22</v>
      </c>
      <c r="D29" s="6">
        <v>173.15190000000001</v>
      </c>
      <c r="E29" s="6">
        <f t="shared" si="1"/>
        <v>164.494305</v>
      </c>
      <c r="F29" s="6">
        <v>167.28129999999999</v>
      </c>
      <c r="G29" s="6">
        <f t="shared" si="0"/>
        <v>159.6195610687023</v>
      </c>
      <c r="H29" t="s">
        <v>87</v>
      </c>
    </row>
    <row r="30" spans="3:8">
      <c r="C30">
        <v>23</v>
      </c>
      <c r="D30" s="6">
        <v>373.471</v>
      </c>
      <c r="E30" s="6">
        <f t="shared" si="1"/>
        <v>354.79744999999997</v>
      </c>
      <c r="F30" s="6">
        <v>299.41390000000001</v>
      </c>
      <c r="G30" s="6">
        <f t="shared" si="0"/>
        <v>285.700286259542</v>
      </c>
      <c r="H30" t="s">
        <v>87</v>
      </c>
    </row>
    <row r="31" spans="3:8">
      <c r="C31">
        <v>24</v>
      </c>
      <c r="D31" s="6">
        <v>28.592700000000001</v>
      </c>
      <c r="E31" s="6">
        <f t="shared" si="1"/>
        <v>27.163065</v>
      </c>
      <c r="F31" s="6">
        <v>291.0093</v>
      </c>
      <c r="G31" s="6">
        <f t="shared" si="0"/>
        <v>277.68062977099237</v>
      </c>
      <c r="H31" t="s">
        <v>87</v>
      </c>
    </row>
    <row r="32" spans="3:8">
      <c r="C32">
        <v>25</v>
      </c>
      <c r="D32" s="6">
        <v>40.414200000000001</v>
      </c>
      <c r="E32" s="6">
        <f t="shared" si="1"/>
        <v>38.39349</v>
      </c>
      <c r="F32" s="6">
        <v>68.141400000000004</v>
      </c>
      <c r="G32" s="6">
        <f t="shared" si="0"/>
        <v>65.020419847328256</v>
      </c>
      <c r="H32" t="s">
        <v>87</v>
      </c>
    </row>
    <row r="33" spans="3:8">
      <c r="C33">
        <v>26</v>
      </c>
      <c r="D33" s="6">
        <v>94.327699999999993</v>
      </c>
      <c r="E33" s="6">
        <f t="shared" si="1"/>
        <v>89.611314999999991</v>
      </c>
      <c r="F33" s="6">
        <v>169.7773</v>
      </c>
      <c r="G33" s="6">
        <f t="shared" si="0"/>
        <v>162.00124045801527</v>
      </c>
      <c r="H33" t="s">
        <v>87</v>
      </c>
    </row>
    <row r="34" spans="3:8">
      <c r="C34">
        <v>27</v>
      </c>
      <c r="D34" s="6">
        <v>299.82139999999998</v>
      </c>
      <c r="E34" s="6">
        <f t="shared" si="1"/>
        <v>284.83032999999995</v>
      </c>
      <c r="F34" s="6">
        <v>208.06270000000001</v>
      </c>
      <c r="G34" s="6">
        <f t="shared" si="0"/>
        <v>198.53311068702291</v>
      </c>
      <c r="H34" t="s">
        <v>87</v>
      </c>
    </row>
    <row r="35" spans="3:8">
      <c r="C35">
        <v>28</v>
      </c>
      <c r="D35" s="6">
        <v>335.17720000000003</v>
      </c>
      <c r="E35" s="6">
        <f t="shared" si="1"/>
        <v>318.41834</v>
      </c>
      <c r="F35" s="6">
        <v>175.03980000000001</v>
      </c>
      <c r="G35" s="6">
        <f t="shared" si="0"/>
        <v>167.02270992366414</v>
      </c>
      <c r="H35" t="s">
        <v>87</v>
      </c>
    </row>
    <row r="36" spans="3:8">
      <c r="C36">
        <v>29</v>
      </c>
      <c r="D36" s="6">
        <v>299.2353</v>
      </c>
      <c r="E36" s="6">
        <f t="shared" si="1"/>
        <v>284.27353499999998</v>
      </c>
      <c r="F36" s="6">
        <v>247.05799999999999</v>
      </c>
      <c r="G36" s="6">
        <f t="shared" si="0"/>
        <v>235.74236641221376</v>
      </c>
      <c r="H36" t="s">
        <v>87</v>
      </c>
    </row>
    <row r="37" spans="3:8">
      <c r="C37">
        <v>30</v>
      </c>
      <c r="D37" s="6">
        <v>214.99529999999999</v>
      </c>
      <c r="E37" s="6">
        <f t="shared" si="1"/>
        <v>204.24553499999999</v>
      </c>
      <c r="F37" s="6">
        <v>238.392</v>
      </c>
      <c r="G37" s="6">
        <f t="shared" si="0"/>
        <v>227.47328244274809</v>
      </c>
      <c r="H37" t="s">
        <v>87</v>
      </c>
    </row>
    <row r="38" spans="3:8">
      <c r="C38">
        <v>31</v>
      </c>
      <c r="D38" s="6">
        <v>256.1198</v>
      </c>
      <c r="E38" s="6">
        <f t="shared" si="1"/>
        <v>243.31380999999999</v>
      </c>
      <c r="F38" s="6">
        <v>137.59520000000001</v>
      </c>
      <c r="G38" s="6">
        <f t="shared" si="0"/>
        <v>131.29312977099238</v>
      </c>
      <c r="H38" t="s">
        <v>87</v>
      </c>
    </row>
    <row r="39" spans="3:8">
      <c r="C39">
        <v>32</v>
      </c>
      <c r="D39" s="6">
        <v>148.8253</v>
      </c>
      <c r="E39" s="6">
        <f t="shared" si="1"/>
        <v>141.38403499999998</v>
      </c>
      <c r="F39" s="6">
        <v>179.49539999999999</v>
      </c>
      <c r="G39" s="6">
        <f t="shared" si="0"/>
        <v>171.27423664122136</v>
      </c>
      <c r="H39" t="s">
        <v>87</v>
      </c>
    </row>
    <row r="40" spans="3:8">
      <c r="C40">
        <v>33</v>
      </c>
      <c r="D40" s="6">
        <v>340.7285</v>
      </c>
      <c r="E40" s="6">
        <f t="shared" si="1"/>
        <v>323.69207499999999</v>
      </c>
      <c r="F40" s="6">
        <v>54.646099999999997</v>
      </c>
      <c r="G40" s="6">
        <f t="shared" ref="G40:G71" si="2">F40*$B$4</f>
        <v>52.143225190839694</v>
      </c>
      <c r="H40" t="s">
        <v>87</v>
      </c>
    </row>
    <row r="41" spans="3:8">
      <c r="C41">
        <v>34</v>
      </c>
      <c r="D41" s="6">
        <v>102.87269999999999</v>
      </c>
      <c r="E41" s="6">
        <f t="shared" si="1"/>
        <v>97.729064999999991</v>
      </c>
      <c r="F41" s="6">
        <v>345.21910000000003</v>
      </c>
      <c r="G41" s="6">
        <f t="shared" si="2"/>
        <v>329.40753816793898</v>
      </c>
      <c r="H41" t="s">
        <v>87</v>
      </c>
    </row>
    <row r="42" spans="3:8">
      <c r="C42">
        <v>35</v>
      </c>
      <c r="D42" s="6">
        <v>315.93990000000002</v>
      </c>
      <c r="E42" s="6">
        <f t="shared" si="1"/>
        <v>300.14290499999998</v>
      </c>
      <c r="F42" s="6">
        <v>100.15049999999999</v>
      </c>
      <c r="G42" s="6">
        <f t="shared" si="2"/>
        <v>95.563454198473281</v>
      </c>
      <c r="H42" t="s">
        <v>87</v>
      </c>
    </row>
    <row r="43" spans="3:8">
      <c r="C43">
        <v>36</v>
      </c>
      <c r="D43" s="6">
        <v>100.5428</v>
      </c>
      <c r="E43" s="6">
        <f t="shared" si="1"/>
        <v>95.515659999999997</v>
      </c>
      <c r="F43" s="6">
        <v>81.864900000000006</v>
      </c>
      <c r="G43" s="6">
        <f t="shared" si="2"/>
        <v>78.115362595419853</v>
      </c>
      <c r="H43" t="s">
        <v>87</v>
      </c>
    </row>
    <row r="44" spans="3:8">
      <c r="C44">
        <v>37</v>
      </c>
      <c r="D44" s="6">
        <v>179.7114</v>
      </c>
      <c r="E44" s="6">
        <f t="shared" si="1"/>
        <v>170.72583</v>
      </c>
      <c r="F44" s="6">
        <v>161.72290000000001</v>
      </c>
      <c r="G44" s="6">
        <f t="shared" si="2"/>
        <v>154.31574427480916</v>
      </c>
      <c r="H44" t="s">
        <v>87</v>
      </c>
    </row>
    <row r="45" spans="3:8">
      <c r="C45">
        <v>38</v>
      </c>
      <c r="D45" s="6">
        <v>289.7647</v>
      </c>
      <c r="E45" s="6">
        <f t="shared" si="1"/>
        <v>275.27646499999997</v>
      </c>
      <c r="F45" s="6">
        <v>109.4355</v>
      </c>
      <c r="G45" s="6">
        <f t="shared" si="2"/>
        <v>104.42318702290078</v>
      </c>
      <c r="H45" t="s">
        <v>87</v>
      </c>
    </row>
    <row r="46" spans="3:8">
      <c r="C46">
        <v>39</v>
      </c>
      <c r="D46" s="6">
        <v>355.93729999999999</v>
      </c>
      <c r="E46" s="6">
        <f t="shared" si="1"/>
        <v>338.14043499999997</v>
      </c>
      <c r="F46" s="6">
        <v>196.90629999999999</v>
      </c>
      <c r="G46" s="6">
        <f t="shared" si="2"/>
        <v>187.88769083969464</v>
      </c>
      <c r="H46" t="s">
        <v>87</v>
      </c>
    </row>
    <row r="47" spans="3:8">
      <c r="C47">
        <v>40</v>
      </c>
      <c r="D47" s="6">
        <v>56.721800000000002</v>
      </c>
      <c r="E47" s="6">
        <f t="shared" si="1"/>
        <v>53.885709999999996</v>
      </c>
      <c r="F47" s="6">
        <v>151.84800000000001</v>
      </c>
      <c r="G47" s="6">
        <f t="shared" si="2"/>
        <v>144.89312977099237</v>
      </c>
      <c r="H47" t="s">
        <v>87</v>
      </c>
    </row>
    <row r="48" spans="3:8">
      <c r="C48">
        <v>41</v>
      </c>
      <c r="D48" s="6">
        <v>419.77719999999999</v>
      </c>
      <c r="E48" s="6">
        <f t="shared" si="1"/>
        <v>398.78833999999995</v>
      </c>
      <c r="F48" s="6">
        <v>335.48910000000001</v>
      </c>
      <c r="G48" s="6">
        <f t="shared" si="2"/>
        <v>320.12318702290077</v>
      </c>
      <c r="H48" t="s">
        <v>87</v>
      </c>
    </row>
    <row r="49" spans="3:8">
      <c r="C49">
        <v>42</v>
      </c>
      <c r="D49" s="6">
        <v>354.005</v>
      </c>
      <c r="E49" s="6">
        <f t="shared" si="1"/>
        <v>336.30474999999996</v>
      </c>
      <c r="F49" s="6">
        <v>326.09960000000001</v>
      </c>
      <c r="G49" s="6">
        <f t="shared" si="2"/>
        <v>311.1637404580153</v>
      </c>
      <c r="H49" t="s">
        <v>87</v>
      </c>
    </row>
    <row r="50" spans="3:8">
      <c r="C50">
        <v>43</v>
      </c>
      <c r="D50" s="6">
        <v>230.3468</v>
      </c>
      <c r="E50" s="6">
        <f t="shared" si="1"/>
        <v>218.82945999999998</v>
      </c>
      <c r="F50" s="6">
        <v>65.803100000000001</v>
      </c>
      <c r="G50" s="6">
        <f t="shared" si="2"/>
        <v>62.789217557251909</v>
      </c>
      <c r="H50" t="s">
        <v>87</v>
      </c>
    </row>
    <row r="51" spans="3:8">
      <c r="C51">
        <v>44</v>
      </c>
      <c r="D51" s="6">
        <v>208.54750000000001</v>
      </c>
      <c r="E51" s="6">
        <f t="shared" si="1"/>
        <v>198.120125</v>
      </c>
      <c r="F51" s="6">
        <v>271.35739999999998</v>
      </c>
      <c r="G51" s="6">
        <f t="shared" si="2"/>
        <v>258.92881679389313</v>
      </c>
      <c r="H51" t="s">
        <v>87</v>
      </c>
    </row>
    <row r="52" spans="3:8">
      <c r="C52">
        <v>45</v>
      </c>
      <c r="D52" s="6">
        <v>213.2234</v>
      </c>
      <c r="E52" s="6">
        <f t="shared" si="1"/>
        <v>202.56223</v>
      </c>
      <c r="F52" s="6">
        <v>130.73580000000001</v>
      </c>
      <c r="G52" s="6">
        <f t="shared" si="2"/>
        <v>124.7479007633588</v>
      </c>
      <c r="H52" t="s">
        <v>87</v>
      </c>
    </row>
    <row r="53" spans="3:8">
      <c r="C53">
        <v>46</v>
      </c>
      <c r="D53" s="6">
        <v>153.11760000000001</v>
      </c>
      <c r="E53" s="6">
        <f t="shared" si="1"/>
        <v>145.46172000000001</v>
      </c>
      <c r="F53" s="6">
        <v>176.85069999999999</v>
      </c>
      <c r="G53" s="6">
        <f t="shared" si="2"/>
        <v>168.75066793893129</v>
      </c>
      <c r="H53" t="s">
        <v>87</v>
      </c>
    </row>
    <row r="54" spans="3:8">
      <c r="C54">
        <v>47</v>
      </c>
      <c r="D54" s="6">
        <v>239.64169999999999</v>
      </c>
      <c r="E54" s="6">
        <f t="shared" si="1"/>
        <v>227.65961499999997</v>
      </c>
      <c r="F54" s="6">
        <v>214.3613</v>
      </c>
      <c r="G54" s="6">
        <f t="shared" si="2"/>
        <v>204.54322519083971</v>
      </c>
      <c r="H54" t="s">
        <v>87</v>
      </c>
    </row>
    <row r="55" spans="3:8">
      <c r="C55">
        <v>48</v>
      </c>
      <c r="D55" s="6">
        <v>240.61019999999999</v>
      </c>
      <c r="E55" s="6">
        <f t="shared" si="1"/>
        <v>228.57968999999997</v>
      </c>
      <c r="F55" s="6">
        <v>332.8211</v>
      </c>
      <c r="G55" s="6">
        <f t="shared" si="2"/>
        <v>317.57738549618324</v>
      </c>
      <c r="H55" t="s">
        <v>87</v>
      </c>
    </row>
    <row r="56" spans="3:8">
      <c r="C56">
        <v>49</v>
      </c>
      <c r="D56" s="6">
        <v>371.94470000000001</v>
      </c>
      <c r="E56" s="6">
        <f t="shared" si="1"/>
        <v>353.347465</v>
      </c>
      <c r="F56" s="6">
        <v>175.32320000000001</v>
      </c>
      <c r="G56" s="6">
        <f t="shared" si="2"/>
        <v>167.29312977099238</v>
      </c>
      <c r="H56" t="s">
        <v>87</v>
      </c>
    </row>
    <row r="57" spans="3:8">
      <c r="C57">
        <v>50</v>
      </c>
      <c r="D57" s="6">
        <v>362.18779999999998</v>
      </c>
      <c r="E57" s="6">
        <f t="shared" si="1"/>
        <v>344.07840999999996</v>
      </c>
      <c r="F57" s="6">
        <v>344.91570000000002</v>
      </c>
      <c r="G57" s="6">
        <f t="shared" si="2"/>
        <v>329.11803435114507</v>
      </c>
      <c r="H57" t="s">
        <v>87</v>
      </c>
    </row>
    <row r="58" spans="3:8">
      <c r="C58">
        <v>51</v>
      </c>
      <c r="D58" s="6">
        <v>297.76819999999998</v>
      </c>
      <c r="E58" s="6">
        <f t="shared" si="1"/>
        <v>282.87978999999996</v>
      </c>
      <c r="F58" s="6">
        <v>140.4365</v>
      </c>
      <c r="G58" s="6">
        <f t="shared" si="2"/>
        <v>134.00429389312978</v>
      </c>
      <c r="H58" t="s">
        <v>87</v>
      </c>
    </row>
    <row r="59" spans="3:8">
      <c r="C59">
        <v>52</v>
      </c>
      <c r="D59" s="6">
        <v>184.04480000000001</v>
      </c>
      <c r="E59" s="6">
        <f t="shared" si="1"/>
        <v>174.84255999999999</v>
      </c>
      <c r="F59" s="6">
        <v>260.32960000000003</v>
      </c>
      <c r="G59" s="6">
        <f t="shared" si="2"/>
        <v>248.40610687022905</v>
      </c>
      <c r="H59" t="s">
        <v>87</v>
      </c>
    </row>
    <row r="60" spans="3:8">
      <c r="C60">
        <v>53</v>
      </c>
      <c r="D60" s="6">
        <v>369.35640000000001</v>
      </c>
      <c r="E60" s="6">
        <f t="shared" si="1"/>
        <v>350.88857999999999</v>
      </c>
      <c r="F60" s="6">
        <v>249.90170000000001</v>
      </c>
      <c r="G60" s="6">
        <f t="shared" si="2"/>
        <v>238.45582061068703</v>
      </c>
      <c r="H60" t="s">
        <v>87</v>
      </c>
    </row>
    <row r="61" spans="3:8">
      <c r="C61">
        <v>54</v>
      </c>
      <c r="D61" s="6">
        <v>250.04939999999999</v>
      </c>
      <c r="E61" s="6">
        <f t="shared" si="1"/>
        <v>237.54692999999997</v>
      </c>
      <c r="F61" s="6">
        <v>211.7379</v>
      </c>
      <c r="G61" s="6">
        <f t="shared" si="2"/>
        <v>202.03998091603054</v>
      </c>
      <c r="H61" t="s">
        <v>87</v>
      </c>
    </row>
    <row r="62" spans="3:8">
      <c r="C62">
        <v>55</v>
      </c>
      <c r="D62" s="6">
        <v>172.1112</v>
      </c>
      <c r="E62" s="6">
        <f t="shared" si="1"/>
        <v>163.50564</v>
      </c>
      <c r="F62" s="6">
        <v>259.43169999999998</v>
      </c>
      <c r="G62" s="6">
        <f t="shared" si="2"/>
        <v>247.5493320610687</v>
      </c>
      <c r="H62" t="s">
        <v>87</v>
      </c>
    </row>
    <row r="63" spans="3:8">
      <c r="C63">
        <v>56</v>
      </c>
      <c r="D63" s="6">
        <v>423.89269999999999</v>
      </c>
      <c r="E63" s="6">
        <f t="shared" si="1"/>
        <v>402.69806499999999</v>
      </c>
      <c r="F63" s="6">
        <v>249.95840000000001</v>
      </c>
      <c r="G63" s="6">
        <f t="shared" si="2"/>
        <v>238.50992366412217</v>
      </c>
      <c r="H63" t="s">
        <v>87</v>
      </c>
    </row>
    <row r="64" spans="3:8">
      <c r="C64">
        <v>57</v>
      </c>
      <c r="D64" s="6">
        <v>396.90350000000001</v>
      </c>
      <c r="E64" s="6">
        <f t="shared" si="1"/>
        <v>377.05832499999997</v>
      </c>
      <c r="F64" s="6">
        <v>103.4397</v>
      </c>
      <c r="G64" s="6">
        <f t="shared" si="2"/>
        <v>98.702003816793905</v>
      </c>
      <c r="H64" t="s">
        <v>87</v>
      </c>
    </row>
    <row r="65" spans="3:8">
      <c r="C65">
        <v>58</v>
      </c>
      <c r="D65" s="6">
        <v>257.46690000000001</v>
      </c>
      <c r="E65" s="6">
        <f t="shared" si="1"/>
        <v>244.59355500000001</v>
      </c>
      <c r="F65" s="6">
        <v>88.404300000000006</v>
      </c>
      <c r="G65" s="6">
        <f t="shared" si="2"/>
        <v>84.355248091603059</v>
      </c>
      <c r="H65" t="s">
        <v>87</v>
      </c>
    </row>
    <row r="66" spans="3:8">
      <c r="C66">
        <v>59</v>
      </c>
      <c r="D66" s="6">
        <v>288.41930000000002</v>
      </c>
      <c r="E66" s="6">
        <f t="shared" si="1"/>
        <v>273.998335</v>
      </c>
      <c r="F66" s="6">
        <v>349.72410000000002</v>
      </c>
      <c r="G66" s="6">
        <f t="shared" si="2"/>
        <v>333.70620229007636</v>
      </c>
      <c r="H66" t="s">
        <v>87</v>
      </c>
    </row>
    <row r="67" spans="3:8">
      <c r="C67">
        <v>60</v>
      </c>
      <c r="D67" s="6">
        <v>273.25510000000003</v>
      </c>
      <c r="E67" s="6">
        <f t="shared" si="1"/>
        <v>259.59234500000002</v>
      </c>
      <c r="F67" s="6">
        <v>101.33629999999999</v>
      </c>
      <c r="G67" s="6">
        <f t="shared" si="2"/>
        <v>96.694942748091606</v>
      </c>
      <c r="H67" t="s">
        <v>87</v>
      </c>
    </row>
    <row r="68" spans="3:8">
      <c r="C68">
        <v>61</v>
      </c>
      <c r="D68" s="6">
        <v>110.91370000000001</v>
      </c>
      <c r="E68" s="6">
        <f t="shared" si="1"/>
        <v>105.368015</v>
      </c>
      <c r="F68" s="6">
        <v>59.780200000000001</v>
      </c>
      <c r="G68" s="6">
        <f t="shared" si="2"/>
        <v>57.042175572519085</v>
      </c>
      <c r="H68" t="s">
        <v>87</v>
      </c>
    </row>
    <row r="69" spans="3:8">
      <c r="C69">
        <v>62</v>
      </c>
      <c r="D69" s="6">
        <v>150.93340000000001</v>
      </c>
      <c r="E69" s="6">
        <f t="shared" si="1"/>
        <v>143.38673</v>
      </c>
      <c r="F69" s="6">
        <v>218.35990000000001</v>
      </c>
      <c r="G69" s="6">
        <f t="shared" si="2"/>
        <v>208.35868320610689</v>
      </c>
      <c r="H69" t="s">
        <v>87</v>
      </c>
    </row>
    <row r="70" spans="3:8">
      <c r="C70">
        <v>63</v>
      </c>
      <c r="D70" s="6">
        <v>223.55520000000001</v>
      </c>
      <c r="E70" s="6">
        <f t="shared" si="1"/>
        <v>212.37744000000001</v>
      </c>
      <c r="F70" s="6">
        <v>314.56</v>
      </c>
      <c r="G70" s="6">
        <f t="shared" si="2"/>
        <v>300.15267175572518</v>
      </c>
      <c r="H70" t="s">
        <v>87</v>
      </c>
    </row>
    <row r="71" spans="3:8">
      <c r="C71">
        <v>64</v>
      </c>
      <c r="D71" s="6">
        <v>120.6489</v>
      </c>
      <c r="E71" s="6">
        <f t="shared" si="1"/>
        <v>114.61645499999999</v>
      </c>
      <c r="F71" s="6">
        <v>250.7526</v>
      </c>
      <c r="G71" s="6">
        <f t="shared" si="2"/>
        <v>239.26774809160307</v>
      </c>
      <c r="H71" t="s">
        <v>87</v>
      </c>
    </row>
    <row r="72" spans="3:8">
      <c r="C72">
        <v>65</v>
      </c>
      <c r="D72" s="6">
        <v>383.36419999999998</v>
      </c>
      <c r="E72" s="6">
        <f t="shared" si="1"/>
        <v>364.19598999999999</v>
      </c>
      <c r="F72" s="6">
        <v>107.13</v>
      </c>
      <c r="G72" s="6">
        <f t="shared" ref="G72:G103" si="3">F72*$B$4</f>
        <v>102.22328244274809</v>
      </c>
      <c r="H72" t="s">
        <v>87</v>
      </c>
    </row>
    <row r="73" spans="3:8">
      <c r="C73">
        <v>66</v>
      </c>
      <c r="D73" s="6">
        <v>105.3591</v>
      </c>
      <c r="E73" s="6">
        <f t="shared" ref="E73:E136" si="4">D73*0.95</f>
        <v>100.091145</v>
      </c>
      <c r="F73" s="6">
        <v>160.67500000000001</v>
      </c>
      <c r="G73" s="6">
        <f t="shared" si="3"/>
        <v>153.31583969465652</v>
      </c>
      <c r="H73" t="s">
        <v>87</v>
      </c>
    </row>
    <row r="74" spans="3:8">
      <c r="C74">
        <v>67</v>
      </c>
      <c r="D74" s="6">
        <v>118.69450000000001</v>
      </c>
      <c r="E74" s="6">
        <f t="shared" si="4"/>
        <v>112.759775</v>
      </c>
      <c r="F74" s="6">
        <v>188.21780000000001</v>
      </c>
      <c r="G74" s="6">
        <f t="shared" si="3"/>
        <v>179.59713740458017</v>
      </c>
      <c r="H74" t="s">
        <v>87</v>
      </c>
    </row>
    <row r="75" spans="3:8">
      <c r="C75">
        <v>68</v>
      </c>
      <c r="D75" s="6">
        <v>95.063000000000002</v>
      </c>
      <c r="E75" s="6">
        <f t="shared" si="4"/>
        <v>90.309849999999997</v>
      </c>
      <c r="F75" s="6">
        <v>344.4914</v>
      </c>
      <c r="G75" s="6">
        <f t="shared" si="3"/>
        <v>328.71316793893129</v>
      </c>
      <c r="H75" t="s">
        <v>87</v>
      </c>
    </row>
    <row r="76" spans="3:8">
      <c r="C76">
        <v>69</v>
      </c>
      <c r="D76" s="6">
        <v>119.44029999999999</v>
      </c>
      <c r="E76" s="6">
        <f t="shared" si="4"/>
        <v>113.46828499999999</v>
      </c>
      <c r="F76" s="6">
        <v>96.921499999999995</v>
      </c>
      <c r="G76" s="6">
        <f t="shared" si="3"/>
        <v>92.482347328244273</v>
      </c>
      <c r="H76" t="s">
        <v>87</v>
      </c>
    </row>
    <row r="77" spans="3:8">
      <c r="C77">
        <v>70</v>
      </c>
      <c r="D77" s="6">
        <v>208.47900000000001</v>
      </c>
      <c r="E77" s="6">
        <f t="shared" si="4"/>
        <v>198.05504999999999</v>
      </c>
      <c r="F77" s="6">
        <v>306.65679999999998</v>
      </c>
      <c r="G77" s="6">
        <f t="shared" si="3"/>
        <v>292.61145038167939</v>
      </c>
      <c r="H77" t="s">
        <v>87</v>
      </c>
    </row>
    <row r="78" spans="3:8">
      <c r="C78">
        <v>71</v>
      </c>
      <c r="D78" s="6">
        <v>155.15180000000001</v>
      </c>
      <c r="E78" s="6">
        <f t="shared" si="4"/>
        <v>147.39421000000002</v>
      </c>
      <c r="F78" s="6">
        <v>243.42939999999999</v>
      </c>
      <c r="G78" s="6">
        <f t="shared" si="3"/>
        <v>232.27996183206108</v>
      </c>
      <c r="H78" t="s">
        <v>87</v>
      </c>
    </row>
    <row r="79" spans="3:8">
      <c r="C79">
        <v>72</v>
      </c>
      <c r="D79" s="6">
        <v>417.20650000000001</v>
      </c>
      <c r="E79" s="6">
        <f t="shared" si="4"/>
        <v>396.34617499999996</v>
      </c>
      <c r="F79" s="6">
        <v>162.8817</v>
      </c>
      <c r="G79" s="6">
        <f t="shared" si="3"/>
        <v>155.42146946564887</v>
      </c>
      <c r="H79" t="s">
        <v>87</v>
      </c>
    </row>
    <row r="80" spans="3:8">
      <c r="C80">
        <v>73</v>
      </c>
      <c r="D80" s="6">
        <v>206.12880000000001</v>
      </c>
      <c r="E80" s="6">
        <f t="shared" si="4"/>
        <v>195.82236</v>
      </c>
      <c r="F80" s="6">
        <v>107.2771</v>
      </c>
      <c r="G80" s="6">
        <f t="shared" si="3"/>
        <v>102.36364503816795</v>
      </c>
      <c r="H80" t="s">
        <v>87</v>
      </c>
    </row>
    <row r="81" spans="3:8">
      <c r="C81">
        <v>74</v>
      </c>
      <c r="D81" s="6">
        <v>101.1014</v>
      </c>
      <c r="E81" s="6">
        <f t="shared" si="4"/>
        <v>96.046329999999998</v>
      </c>
      <c r="F81" s="6">
        <v>178.4759</v>
      </c>
      <c r="G81" s="6">
        <f t="shared" si="3"/>
        <v>170.30143129770994</v>
      </c>
      <c r="H81" t="s">
        <v>87</v>
      </c>
    </row>
    <row r="82" spans="3:8">
      <c r="C82">
        <v>75</v>
      </c>
      <c r="D82" s="6">
        <v>409.28910000000002</v>
      </c>
      <c r="E82" s="6">
        <f t="shared" si="4"/>
        <v>388.82464499999998</v>
      </c>
      <c r="F82" s="6">
        <v>194.60659999999999</v>
      </c>
      <c r="G82" s="6">
        <f t="shared" si="3"/>
        <v>185.69332061068701</v>
      </c>
      <c r="H82" t="s">
        <v>87</v>
      </c>
    </row>
    <row r="83" spans="3:8">
      <c r="C83">
        <v>76</v>
      </c>
      <c r="D83" s="6">
        <v>441.33229999999998</v>
      </c>
      <c r="E83" s="6">
        <f t="shared" si="4"/>
        <v>419.26568499999996</v>
      </c>
      <c r="F83" s="6">
        <v>86.183499999999995</v>
      </c>
      <c r="G83" s="6">
        <f t="shared" si="3"/>
        <v>82.23616412213741</v>
      </c>
      <c r="H83" t="s">
        <v>87</v>
      </c>
    </row>
    <row r="84" spans="3:8">
      <c r="C84">
        <v>77</v>
      </c>
      <c r="D84" s="6">
        <v>209.83629999999999</v>
      </c>
      <c r="E84" s="6">
        <f t="shared" si="4"/>
        <v>199.34448499999999</v>
      </c>
      <c r="F84" s="6">
        <v>226.85220000000001</v>
      </c>
      <c r="G84" s="6">
        <f t="shared" si="3"/>
        <v>216.46202290076337</v>
      </c>
      <c r="H84" t="s">
        <v>87</v>
      </c>
    </row>
    <row r="85" spans="3:8">
      <c r="C85">
        <v>78</v>
      </c>
      <c r="D85" s="6">
        <v>69.558999999999997</v>
      </c>
      <c r="E85" s="6">
        <f t="shared" si="4"/>
        <v>66.081049999999991</v>
      </c>
      <c r="F85" s="6">
        <v>117.8563</v>
      </c>
      <c r="G85" s="6">
        <f t="shared" si="3"/>
        <v>112.45830152671756</v>
      </c>
      <c r="H85" t="s">
        <v>87</v>
      </c>
    </row>
    <row r="86" spans="3:8">
      <c r="C86">
        <v>79</v>
      </c>
      <c r="D86" s="6">
        <v>132.45169999999999</v>
      </c>
      <c r="E86" s="6">
        <f t="shared" si="4"/>
        <v>125.82911499999999</v>
      </c>
      <c r="F86" s="6">
        <v>165.38570000000001</v>
      </c>
      <c r="G86" s="6">
        <f t="shared" si="3"/>
        <v>157.81078244274812</v>
      </c>
      <c r="H86" t="s">
        <v>87</v>
      </c>
    </row>
    <row r="87" spans="3:8">
      <c r="C87">
        <v>80</v>
      </c>
      <c r="D87" s="6">
        <v>196.93209999999999</v>
      </c>
      <c r="E87" s="6">
        <f t="shared" si="4"/>
        <v>187.08549499999998</v>
      </c>
      <c r="F87" s="6">
        <v>224.89590000000001</v>
      </c>
      <c r="G87" s="6">
        <f t="shared" si="3"/>
        <v>214.59532442748093</v>
      </c>
      <c r="H87" t="s">
        <v>87</v>
      </c>
    </row>
    <row r="88" spans="3:8">
      <c r="C88">
        <v>81</v>
      </c>
      <c r="D88" s="6">
        <v>276.6155</v>
      </c>
      <c r="E88" s="6">
        <f t="shared" si="4"/>
        <v>262.78472499999998</v>
      </c>
      <c r="F88" s="6">
        <v>125.54179999999999</v>
      </c>
      <c r="G88" s="6">
        <f t="shared" si="3"/>
        <v>119.79179389312976</v>
      </c>
      <c r="H88" t="s">
        <v>87</v>
      </c>
    </row>
    <row r="89" spans="3:8">
      <c r="C89">
        <v>82</v>
      </c>
      <c r="D89" s="6">
        <v>134.22659999999999</v>
      </c>
      <c r="E89" s="6">
        <f t="shared" si="4"/>
        <v>127.51526999999999</v>
      </c>
      <c r="F89" s="6">
        <v>137.13220000000001</v>
      </c>
      <c r="G89" s="6">
        <f t="shared" si="3"/>
        <v>130.85133587786262</v>
      </c>
      <c r="H89" t="s">
        <v>87</v>
      </c>
    </row>
    <row r="90" spans="3:8">
      <c r="C90">
        <v>83</v>
      </c>
      <c r="D90" s="6">
        <v>280.01679999999999</v>
      </c>
      <c r="E90" s="6">
        <f t="shared" si="4"/>
        <v>266.01595999999995</v>
      </c>
      <c r="F90" s="6">
        <v>235.12729999999999</v>
      </c>
      <c r="G90" s="6">
        <f t="shared" si="3"/>
        <v>224.3581106870229</v>
      </c>
      <c r="H90" t="s">
        <v>87</v>
      </c>
    </row>
    <row r="91" spans="3:8">
      <c r="C91">
        <v>84</v>
      </c>
      <c r="D91" s="6">
        <v>326.40039999999999</v>
      </c>
      <c r="E91" s="6">
        <f t="shared" si="4"/>
        <v>310.08037999999999</v>
      </c>
      <c r="F91" s="6">
        <v>129.58430000000001</v>
      </c>
      <c r="G91" s="6">
        <f t="shared" si="3"/>
        <v>123.64914122137407</v>
      </c>
      <c r="H91" t="s">
        <v>87</v>
      </c>
    </row>
    <row r="92" spans="3:8">
      <c r="C92">
        <v>85</v>
      </c>
      <c r="D92" s="6">
        <v>116.9076</v>
      </c>
      <c r="E92" s="6">
        <f t="shared" si="4"/>
        <v>111.06222</v>
      </c>
      <c r="F92" s="6">
        <v>297.31290000000001</v>
      </c>
      <c r="G92" s="6">
        <f t="shared" si="3"/>
        <v>283.69551526717561</v>
      </c>
      <c r="H92" t="s">
        <v>87</v>
      </c>
    </row>
    <row r="93" spans="3:8">
      <c r="C93">
        <v>86</v>
      </c>
      <c r="D93" s="6">
        <v>72.254800000000003</v>
      </c>
      <c r="E93" s="6">
        <f t="shared" si="4"/>
        <v>68.642060000000001</v>
      </c>
      <c r="F93" s="6">
        <v>344.79899999999998</v>
      </c>
      <c r="G93" s="6">
        <f t="shared" si="3"/>
        <v>329.00667938931298</v>
      </c>
      <c r="H93" t="s">
        <v>87</v>
      </c>
    </row>
    <row r="94" spans="3:8">
      <c r="C94">
        <v>87</v>
      </c>
      <c r="D94" s="6">
        <v>148.97730000000001</v>
      </c>
      <c r="E94" s="6">
        <f t="shared" si="4"/>
        <v>141.528435</v>
      </c>
      <c r="F94" s="6">
        <v>269.07459999999998</v>
      </c>
      <c r="G94" s="6">
        <f t="shared" si="3"/>
        <v>256.75057251908396</v>
      </c>
      <c r="H94" t="s">
        <v>87</v>
      </c>
    </row>
    <row r="95" spans="3:8">
      <c r="C95">
        <v>88</v>
      </c>
      <c r="D95" s="6">
        <v>158.43709999999999</v>
      </c>
      <c r="E95" s="6">
        <f t="shared" si="4"/>
        <v>150.51524499999999</v>
      </c>
      <c r="F95" s="6">
        <v>153.16309999999999</v>
      </c>
      <c r="G95" s="6">
        <f t="shared" si="3"/>
        <v>146.14799618320609</v>
      </c>
      <c r="H95" t="s">
        <v>87</v>
      </c>
    </row>
    <row r="96" spans="3:8">
      <c r="C96">
        <v>89</v>
      </c>
      <c r="D96" s="6">
        <v>203.54339999999999</v>
      </c>
      <c r="E96" s="6">
        <f t="shared" si="4"/>
        <v>193.36622999999997</v>
      </c>
      <c r="F96" s="6">
        <v>225.2208</v>
      </c>
      <c r="G96" s="6">
        <f t="shared" si="3"/>
        <v>214.90534351145038</v>
      </c>
      <c r="H96" t="s">
        <v>87</v>
      </c>
    </row>
    <row r="97" spans="3:8">
      <c r="C97">
        <v>90</v>
      </c>
      <c r="D97" s="6">
        <v>239.36330000000001</v>
      </c>
      <c r="E97" s="6">
        <f t="shared" si="4"/>
        <v>227.39513500000001</v>
      </c>
      <c r="F97" s="6">
        <v>82.330699999999993</v>
      </c>
      <c r="G97" s="6">
        <f t="shared" si="3"/>
        <v>78.559828244274811</v>
      </c>
      <c r="H97" t="s">
        <v>87</v>
      </c>
    </row>
    <row r="98" spans="3:8">
      <c r="C98">
        <v>91</v>
      </c>
      <c r="D98" s="6">
        <v>58.6008</v>
      </c>
      <c r="E98" s="6">
        <f t="shared" si="4"/>
        <v>55.670759999999994</v>
      </c>
      <c r="F98" s="6">
        <v>321.89240000000001</v>
      </c>
      <c r="G98" s="6">
        <f t="shared" si="3"/>
        <v>307.14923664122142</v>
      </c>
      <c r="H98" t="s">
        <v>87</v>
      </c>
    </row>
    <row r="99" spans="3:8">
      <c r="C99">
        <v>92</v>
      </c>
      <c r="D99" s="6">
        <v>134.3424</v>
      </c>
      <c r="E99" s="6">
        <f t="shared" si="4"/>
        <v>127.62527999999999</v>
      </c>
      <c r="F99" s="6">
        <v>313.89609999999999</v>
      </c>
      <c r="G99" s="6">
        <f t="shared" si="3"/>
        <v>299.51917938931297</v>
      </c>
      <c r="H99" t="s">
        <v>87</v>
      </c>
    </row>
    <row r="100" spans="3:8">
      <c r="C100">
        <v>93</v>
      </c>
      <c r="D100" s="6">
        <v>364.83429999999998</v>
      </c>
      <c r="E100" s="6">
        <f t="shared" si="4"/>
        <v>346.59258499999999</v>
      </c>
      <c r="F100" s="6">
        <v>295.32819999999998</v>
      </c>
      <c r="G100" s="6">
        <f t="shared" si="3"/>
        <v>281.80171755725189</v>
      </c>
      <c r="H100" t="s">
        <v>87</v>
      </c>
    </row>
    <row r="101" spans="3:8">
      <c r="C101">
        <v>94</v>
      </c>
      <c r="D101" s="6">
        <v>34.506300000000003</v>
      </c>
      <c r="E101" s="6">
        <f t="shared" si="4"/>
        <v>32.780985000000001</v>
      </c>
      <c r="F101" s="6">
        <v>128.2184</v>
      </c>
      <c r="G101" s="6">
        <f t="shared" si="3"/>
        <v>122.34580152671757</v>
      </c>
      <c r="H101" t="s">
        <v>87</v>
      </c>
    </row>
    <row r="102" spans="3:8">
      <c r="C102">
        <v>95</v>
      </c>
      <c r="D102" s="6">
        <v>419.5496</v>
      </c>
      <c r="E102" s="6">
        <f t="shared" si="4"/>
        <v>398.57211999999998</v>
      </c>
      <c r="F102" s="6">
        <v>228.30690000000001</v>
      </c>
      <c r="G102" s="6">
        <f t="shared" si="3"/>
        <v>217.85009541984735</v>
      </c>
      <c r="H102" t="s">
        <v>87</v>
      </c>
    </row>
    <row r="103" spans="3:8">
      <c r="C103">
        <v>96</v>
      </c>
      <c r="D103" s="6">
        <v>334.58159999999998</v>
      </c>
      <c r="E103" s="6">
        <f t="shared" si="4"/>
        <v>317.85251999999997</v>
      </c>
      <c r="F103" s="6">
        <v>56.753799999999998</v>
      </c>
      <c r="G103" s="6">
        <f t="shared" si="3"/>
        <v>54.154389312977102</v>
      </c>
      <c r="H103" t="s">
        <v>87</v>
      </c>
    </row>
    <row r="104" spans="3:8">
      <c r="C104">
        <v>97</v>
      </c>
      <c r="D104" s="6">
        <v>231.12459999999999</v>
      </c>
      <c r="E104" s="6">
        <f t="shared" si="4"/>
        <v>219.56836999999999</v>
      </c>
      <c r="F104" s="6">
        <v>177.5778</v>
      </c>
      <c r="G104" s="6">
        <f t="shared" ref="G104:G135" si="5">F104*$B$4</f>
        <v>169.44446564885496</v>
      </c>
      <c r="H104" t="s">
        <v>87</v>
      </c>
    </row>
    <row r="105" spans="3:8">
      <c r="C105">
        <v>98</v>
      </c>
      <c r="D105" s="6">
        <v>269.6087</v>
      </c>
      <c r="E105" s="6">
        <f t="shared" si="4"/>
        <v>256.128265</v>
      </c>
      <c r="F105" s="6">
        <v>143.81569999999999</v>
      </c>
      <c r="G105" s="6">
        <f t="shared" si="5"/>
        <v>137.22872137404579</v>
      </c>
      <c r="H105" t="s">
        <v>87</v>
      </c>
    </row>
    <row r="106" spans="3:8">
      <c r="C106">
        <v>99</v>
      </c>
      <c r="D106" s="6">
        <v>123.5574</v>
      </c>
      <c r="E106" s="6">
        <f t="shared" si="4"/>
        <v>117.37953</v>
      </c>
      <c r="F106" s="6">
        <v>98.445400000000006</v>
      </c>
      <c r="G106" s="6">
        <f t="shared" si="5"/>
        <v>93.936450381679393</v>
      </c>
      <c r="H106" t="s">
        <v>87</v>
      </c>
    </row>
    <row r="107" spans="3:8">
      <c r="C107">
        <v>100</v>
      </c>
      <c r="D107" s="6">
        <v>218.38730000000001</v>
      </c>
      <c r="E107" s="6">
        <f t="shared" si="4"/>
        <v>207.46793500000001</v>
      </c>
      <c r="F107" s="6">
        <v>103.62990000000001</v>
      </c>
      <c r="G107" s="6">
        <f t="shared" si="5"/>
        <v>98.883492366412227</v>
      </c>
      <c r="H107" t="s">
        <v>87</v>
      </c>
    </row>
    <row r="108" spans="3:8">
      <c r="C108">
        <v>101</v>
      </c>
      <c r="D108" s="6">
        <v>434.20190000000002</v>
      </c>
      <c r="E108" s="6">
        <f t="shared" si="4"/>
        <v>412.491805</v>
      </c>
      <c r="F108" s="6">
        <v>176.8657</v>
      </c>
      <c r="G108" s="6">
        <f t="shared" si="5"/>
        <v>168.76498091603054</v>
      </c>
      <c r="H108" t="s">
        <v>87</v>
      </c>
    </row>
    <row r="109" spans="3:8">
      <c r="C109">
        <v>102</v>
      </c>
      <c r="D109" s="6">
        <v>256.03280000000001</v>
      </c>
      <c r="E109" s="6">
        <f t="shared" si="4"/>
        <v>243.23115999999999</v>
      </c>
      <c r="F109" s="6">
        <v>78.268799999999999</v>
      </c>
      <c r="G109" s="6">
        <f t="shared" si="5"/>
        <v>74.683969465648858</v>
      </c>
      <c r="H109" t="s">
        <v>87</v>
      </c>
    </row>
    <row r="110" spans="3:8">
      <c r="C110">
        <v>103</v>
      </c>
      <c r="D110" s="6">
        <v>245.0461</v>
      </c>
      <c r="E110" s="6">
        <f t="shared" si="4"/>
        <v>232.79379499999999</v>
      </c>
      <c r="F110" s="6">
        <v>229.55709999999999</v>
      </c>
      <c r="G110" s="6">
        <f t="shared" si="5"/>
        <v>219.04303435114502</v>
      </c>
      <c r="H110" t="s">
        <v>87</v>
      </c>
    </row>
    <row r="111" spans="3:8">
      <c r="C111">
        <v>104</v>
      </c>
      <c r="D111" s="6">
        <v>121.1224</v>
      </c>
      <c r="E111" s="6">
        <f t="shared" si="4"/>
        <v>115.06627999999999</v>
      </c>
      <c r="F111" s="6">
        <v>191.2773</v>
      </c>
      <c r="G111" s="6">
        <f t="shared" si="5"/>
        <v>182.51650763358779</v>
      </c>
      <c r="H111" t="s">
        <v>87</v>
      </c>
    </row>
    <row r="112" spans="3:8">
      <c r="C112">
        <v>105</v>
      </c>
      <c r="D112" s="6">
        <v>231.2482</v>
      </c>
      <c r="E112" s="6">
        <f t="shared" si="4"/>
        <v>219.68579</v>
      </c>
      <c r="F112" s="6">
        <v>258.78480000000002</v>
      </c>
      <c r="G112" s="6">
        <f t="shared" si="5"/>
        <v>246.93206106870232</v>
      </c>
      <c r="H112" t="s">
        <v>87</v>
      </c>
    </row>
    <row r="113" spans="3:8">
      <c r="C113">
        <v>106</v>
      </c>
      <c r="D113" s="6">
        <v>289.09769999999997</v>
      </c>
      <c r="E113" s="6">
        <f t="shared" si="4"/>
        <v>274.64281499999998</v>
      </c>
      <c r="F113" s="6">
        <v>259.96640000000002</v>
      </c>
      <c r="G113" s="6">
        <f t="shared" si="5"/>
        <v>248.05954198473285</v>
      </c>
      <c r="H113" t="s">
        <v>87</v>
      </c>
    </row>
    <row r="114" spans="3:8">
      <c r="C114">
        <v>107</v>
      </c>
      <c r="D114" s="6">
        <v>312.67</v>
      </c>
      <c r="E114" s="6">
        <f t="shared" si="4"/>
        <v>297.03649999999999</v>
      </c>
      <c r="F114" s="6">
        <v>241.5592</v>
      </c>
      <c r="G114" s="6">
        <f t="shared" si="5"/>
        <v>230.49541984732826</v>
      </c>
      <c r="H114" t="s">
        <v>87</v>
      </c>
    </row>
    <row r="115" spans="3:8">
      <c r="C115">
        <v>108</v>
      </c>
      <c r="D115" s="6">
        <v>191.28049999999999</v>
      </c>
      <c r="E115" s="6">
        <f t="shared" si="4"/>
        <v>181.71647499999997</v>
      </c>
      <c r="F115" s="6">
        <v>60.081200000000003</v>
      </c>
      <c r="G115" s="6">
        <f t="shared" si="5"/>
        <v>57.329389312977106</v>
      </c>
      <c r="H115" t="s">
        <v>87</v>
      </c>
    </row>
    <row r="116" spans="3:8">
      <c r="C116">
        <v>109</v>
      </c>
      <c r="D116" s="6">
        <v>179.2629</v>
      </c>
      <c r="E116" s="6">
        <f t="shared" si="4"/>
        <v>170.299755</v>
      </c>
      <c r="F116" s="6">
        <v>70.641800000000003</v>
      </c>
      <c r="G116" s="6">
        <f t="shared" si="5"/>
        <v>67.406297709923663</v>
      </c>
      <c r="H116" t="s">
        <v>87</v>
      </c>
    </row>
    <row r="117" spans="3:8">
      <c r="C117">
        <v>110</v>
      </c>
      <c r="D117" s="6">
        <v>444.85629999999998</v>
      </c>
      <c r="E117" s="6">
        <f t="shared" si="4"/>
        <v>422.61348499999997</v>
      </c>
      <c r="F117" s="6">
        <v>145.87989999999999</v>
      </c>
      <c r="G117" s="6">
        <f t="shared" si="5"/>
        <v>139.19837786259541</v>
      </c>
      <c r="H117" t="s">
        <v>87</v>
      </c>
    </row>
    <row r="118" spans="3:8">
      <c r="C118">
        <v>111</v>
      </c>
      <c r="D118" s="6">
        <v>38.152200000000001</v>
      </c>
      <c r="E118" s="6">
        <f t="shared" si="4"/>
        <v>36.244590000000002</v>
      </c>
      <c r="F118" s="6">
        <v>209.2593</v>
      </c>
      <c r="G118" s="6">
        <f t="shared" si="5"/>
        <v>199.67490458015268</v>
      </c>
      <c r="H118" t="s">
        <v>87</v>
      </c>
    </row>
    <row r="119" spans="3:8">
      <c r="C119">
        <v>112</v>
      </c>
      <c r="D119" s="6">
        <v>400.8519</v>
      </c>
      <c r="E119" s="6">
        <f t="shared" si="4"/>
        <v>380.80930499999999</v>
      </c>
      <c r="F119" s="6">
        <v>246.33369999999999</v>
      </c>
      <c r="G119" s="6">
        <f t="shared" si="5"/>
        <v>235.05124045801526</v>
      </c>
      <c r="H119" t="s">
        <v>87</v>
      </c>
    </row>
    <row r="120" spans="3:8">
      <c r="C120">
        <v>113</v>
      </c>
      <c r="D120" s="6">
        <v>412.88679999999999</v>
      </c>
      <c r="E120" s="6">
        <f t="shared" si="4"/>
        <v>392.24245999999999</v>
      </c>
      <c r="F120" s="6">
        <v>172.28579999999999</v>
      </c>
      <c r="G120" s="6">
        <f t="shared" si="5"/>
        <v>164.39484732824428</v>
      </c>
      <c r="H120" t="s">
        <v>87</v>
      </c>
    </row>
    <row r="121" spans="3:8">
      <c r="C121">
        <v>114</v>
      </c>
      <c r="D121" s="6">
        <v>362.76670000000001</v>
      </c>
      <c r="E121" s="6">
        <f t="shared" si="4"/>
        <v>344.62836499999997</v>
      </c>
      <c r="F121" s="6">
        <v>295.99439999999998</v>
      </c>
      <c r="G121" s="6">
        <f t="shared" si="5"/>
        <v>282.43740458015264</v>
      </c>
      <c r="H121" t="s">
        <v>87</v>
      </c>
    </row>
    <row r="122" spans="3:8">
      <c r="C122">
        <v>115</v>
      </c>
      <c r="D122" s="6">
        <v>64.248900000000006</v>
      </c>
      <c r="E122" s="6">
        <f t="shared" si="4"/>
        <v>61.036455000000004</v>
      </c>
      <c r="F122" s="6">
        <v>265.5077</v>
      </c>
      <c r="G122" s="6">
        <f t="shared" si="5"/>
        <v>253.34704198473284</v>
      </c>
      <c r="H122" t="s">
        <v>87</v>
      </c>
    </row>
    <row r="123" spans="3:8">
      <c r="C123">
        <v>116</v>
      </c>
      <c r="D123" s="6">
        <v>134.08090000000001</v>
      </c>
      <c r="E123" s="6">
        <f t="shared" si="4"/>
        <v>127.37685500000001</v>
      </c>
      <c r="F123" s="6">
        <v>340.59480000000002</v>
      </c>
      <c r="G123" s="6">
        <f t="shared" si="5"/>
        <v>324.99503816793896</v>
      </c>
      <c r="H123" t="s">
        <v>87</v>
      </c>
    </row>
    <row r="124" spans="3:8">
      <c r="C124">
        <v>117</v>
      </c>
      <c r="D124" s="6">
        <v>165.53270000000001</v>
      </c>
      <c r="E124" s="6">
        <f t="shared" si="4"/>
        <v>157.25606500000001</v>
      </c>
      <c r="F124" s="6">
        <v>209.40020000000001</v>
      </c>
      <c r="G124" s="6">
        <f t="shared" si="5"/>
        <v>199.80935114503819</v>
      </c>
      <c r="H124" t="s">
        <v>87</v>
      </c>
    </row>
    <row r="125" spans="3:8">
      <c r="C125">
        <v>118</v>
      </c>
      <c r="D125" s="6">
        <v>312.92360000000002</v>
      </c>
      <c r="E125" s="6">
        <f t="shared" si="4"/>
        <v>297.27742000000001</v>
      </c>
      <c r="F125" s="6">
        <v>147.5437</v>
      </c>
      <c r="G125" s="6">
        <f t="shared" si="5"/>
        <v>140.78597328244277</v>
      </c>
      <c r="H125" t="s">
        <v>87</v>
      </c>
    </row>
    <row r="126" spans="3:8">
      <c r="C126">
        <v>119</v>
      </c>
      <c r="D126" s="6">
        <v>80.444699999999997</v>
      </c>
      <c r="E126" s="6">
        <f t="shared" si="4"/>
        <v>76.422464999999988</v>
      </c>
      <c r="F126" s="6">
        <v>81.688800000000001</v>
      </c>
      <c r="G126" s="6">
        <f t="shared" si="5"/>
        <v>77.947328244274814</v>
      </c>
      <c r="H126" t="s">
        <v>87</v>
      </c>
    </row>
    <row r="127" spans="3:8">
      <c r="C127">
        <v>120</v>
      </c>
      <c r="D127" s="6">
        <v>330.68540000000002</v>
      </c>
      <c r="E127" s="6">
        <f t="shared" si="4"/>
        <v>314.15113000000002</v>
      </c>
      <c r="F127" s="6">
        <v>233.2876</v>
      </c>
      <c r="G127" s="6">
        <f t="shared" si="5"/>
        <v>222.6026717557252</v>
      </c>
      <c r="H127" t="s">
        <v>87</v>
      </c>
    </row>
    <row r="128" spans="3:8">
      <c r="C128">
        <v>121</v>
      </c>
      <c r="D128" s="6">
        <v>67.694100000000006</v>
      </c>
      <c r="E128" s="6">
        <f t="shared" si="4"/>
        <v>64.309395000000009</v>
      </c>
      <c r="F128" s="6">
        <v>283.64069999999998</v>
      </c>
      <c r="G128" s="6">
        <f t="shared" si="5"/>
        <v>270.64952290076337</v>
      </c>
      <c r="H128" t="s">
        <v>87</v>
      </c>
    </row>
    <row r="129" spans="3:8">
      <c r="C129">
        <v>122</v>
      </c>
      <c r="D129" s="6">
        <v>301.80810000000002</v>
      </c>
      <c r="E129" s="6">
        <f t="shared" si="4"/>
        <v>286.71769499999999</v>
      </c>
      <c r="F129" s="6">
        <v>177.0359</v>
      </c>
      <c r="G129" s="6">
        <f t="shared" si="5"/>
        <v>168.92738549618321</v>
      </c>
      <c r="H129" t="s">
        <v>87</v>
      </c>
    </row>
    <row r="130" spans="3:8">
      <c r="C130">
        <v>123</v>
      </c>
      <c r="D130" s="6">
        <v>233.50640000000001</v>
      </c>
      <c r="E130" s="6">
        <f t="shared" si="4"/>
        <v>221.83108000000001</v>
      </c>
      <c r="F130" s="6">
        <v>77.247</v>
      </c>
      <c r="G130" s="6">
        <f t="shared" si="5"/>
        <v>73.708969465648863</v>
      </c>
      <c r="H130" t="s">
        <v>87</v>
      </c>
    </row>
    <row r="131" spans="3:8">
      <c r="C131">
        <v>124</v>
      </c>
      <c r="D131" s="6">
        <v>355.4341</v>
      </c>
      <c r="E131" s="6">
        <f t="shared" si="4"/>
        <v>337.662395</v>
      </c>
      <c r="F131" s="6">
        <v>129.94139999999999</v>
      </c>
      <c r="G131" s="6">
        <f t="shared" si="5"/>
        <v>123.98988549618319</v>
      </c>
      <c r="H131" t="s">
        <v>87</v>
      </c>
    </row>
    <row r="132" spans="3:8">
      <c r="C132">
        <v>125</v>
      </c>
      <c r="D132" s="6">
        <v>328.03590000000003</v>
      </c>
      <c r="E132" s="6">
        <f t="shared" si="4"/>
        <v>311.63410500000003</v>
      </c>
      <c r="F132" s="6">
        <v>96.096999999999994</v>
      </c>
      <c r="G132" s="6">
        <f t="shared" si="5"/>
        <v>91.695610687022892</v>
      </c>
      <c r="H132" t="s">
        <v>87</v>
      </c>
    </row>
    <row r="133" spans="3:8">
      <c r="C133">
        <v>126</v>
      </c>
      <c r="D133" s="6">
        <v>598</v>
      </c>
      <c r="E133" s="6">
        <f t="shared" si="4"/>
        <v>568.1</v>
      </c>
      <c r="F133" s="6">
        <v>595.98</v>
      </c>
      <c r="G133" s="6">
        <f t="shared" si="5"/>
        <v>568.68320610687022</v>
      </c>
      <c r="H133" t="s">
        <v>94</v>
      </c>
    </row>
    <row r="134" spans="3:8">
      <c r="C134">
        <v>127</v>
      </c>
      <c r="D134" s="6">
        <v>403.31479999999999</v>
      </c>
      <c r="E134" s="6">
        <f t="shared" si="4"/>
        <v>383.14905999999996</v>
      </c>
      <c r="F134" s="6">
        <v>182.02549999999999</v>
      </c>
      <c r="G134" s="6">
        <f t="shared" si="5"/>
        <v>173.68845419847329</v>
      </c>
      <c r="H134" t="s">
        <v>87</v>
      </c>
    </row>
    <row r="135" spans="3:8">
      <c r="C135">
        <v>128</v>
      </c>
      <c r="D135" s="6">
        <v>165.02180000000001</v>
      </c>
      <c r="E135" s="6">
        <f t="shared" si="4"/>
        <v>156.77071000000001</v>
      </c>
      <c r="F135" s="6">
        <v>208.14279999999999</v>
      </c>
      <c r="G135" s="6">
        <f t="shared" si="5"/>
        <v>198.60954198473283</v>
      </c>
      <c r="H135" t="s">
        <v>87</v>
      </c>
    </row>
    <row r="136" spans="3:8">
      <c r="C136">
        <v>129</v>
      </c>
      <c r="D136" s="6">
        <v>321.06319999999999</v>
      </c>
      <c r="E136" s="6">
        <f t="shared" si="4"/>
        <v>305.01004</v>
      </c>
      <c r="F136" s="6">
        <v>187.22730000000001</v>
      </c>
      <c r="G136" s="6">
        <f t="shared" ref="G136:G157" si="6">F136*$B$4</f>
        <v>178.65200381679392</v>
      </c>
      <c r="H136" t="s">
        <v>87</v>
      </c>
    </row>
    <row r="137" spans="3:8">
      <c r="C137">
        <v>130</v>
      </c>
      <c r="D137" s="6">
        <v>106.6626</v>
      </c>
      <c r="E137" s="6">
        <f t="shared" ref="E137:E157" si="7">D137*0.95</f>
        <v>101.32946999999999</v>
      </c>
      <c r="F137" s="6">
        <v>312.61149999999998</v>
      </c>
      <c r="G137" s="6">
        <f t="shared" si="6"/>
        <v>298.29341603053433</v>
      </c>
      <c r="H137" t="s">
        <v>87</v>
      </c>
    </row>
    <row r="138" spans="3:8">
      <c r="C138">
        <v>131</v>
      </c>
      <c r="D138" s="6">
        <v>35.0715</v>
      </c>
      <c r="E138" s="6">
        <f t="shared" si="7"/>
        <v>33.317924999999995</v>
      </c>
      <c r="F138" s="6">
        <v>205.41560000000001</v>
      </c>
      <c r="G138" s="6">
        <f t="shared" si="6"/>
        <v>196.00725190839697</v>
      </c>
      <c r="H138" t="s">
        <v>87</v>
      </c>
    </row>
    <row r="139" spans="3:8">
      <c r="C139">
        <v>132</v>
      </c>
      <c r="D139" s="6">
        <v>340.46379999999999</v>
      </c>
      <c r="E139" s="6">
        <f t="shared" si="7"/>
        <v>323.44060999999999</v>
      </c>
      <c r="F139" s="6">
        <v>333.08679999999998</v>
      </c>
      <c r="G139" s="6">
        <f t="shared" si="6"/>
        <v>317.83091603053435</v>
      </c>
      <c r="H139" t="s">
        <v>87</v>
      </c>
    </row>
    <row r="140" spans="3:8">
      <c r="C140">
        <v>133</v>
      </c>
      <c r="D140" s="6">
        <v>236.00960000000001</v>
      </c>
      <c r="E140" s="6">
        <f t="shared" si="7"/>
        <v>224.20911999999998</v>
      </c>
      <c r="F140" s="6">
        <v>241.31270000000001</v>
      </c>
      <c r="G140" s="6">
        <f t="shared" si="6"/>
        <v>230.26020992366415</v>
      </c>
      <c r="H140" t="s">
        <v>87</v>
      </c>
    </row>
    <row r="141" spans="3:8">
      <c r="C141">
        <v>134</v>
      </c>
      <c r="D141" s="6">
        <v>227.4067</v>
      </c>
      <c r="E141" s="6">
        <f t="shared" si="7"/>
        <v>216.03636499999999</v>
      </c>
      <c r="F141" s="6">
        <v>337.3082</v>
      </c>
      <c r="G141" s="6">
        <f t="shared" si="6"/>
        <v>321.85896946564884</v>
      </c>
      <c r="H141" t="s">
        <v>87</v>
      </c>
    </row>
    <row r="142" spans="3:8">
      <c r="C142">
        <v>135</v>
      </c>
      <c r="D142" s="6">
        <v>409.22109999999998</v>
      </c>
      <c r="E142" s="6">
        <f t="shared" si="7"/>
        <v>388.76004499999993</v>
      </c>
      <c r="F142" s="6">
        <v>122.21210000000001</v>
      </c>
      <c r="G142" s="6">
        <f t="shared" si="6"/>
        <v>116.61459923664123</v>
      </c>
      <c r="H142" t="s">
        <v>87</v>
      </c>
    </row>
    <row r="143" spans="3:8">
      <c r="C143">
        <v>136</v>
      </c>
      <c r="D143" s="6">
        <v>283.02289999999999</v>
      </c>
      <c r="E143" s="6">
        <f t="shared" si="7"/>
        <v>268.87175500000001</v>
      </c>
      <c r="F143" s="6">
        <v>252.83670000000001</v>
      </c>
      <c r="G143" s="6">
        <f t="shared" si="6"/>
        <v>241.256393129771</v>
      </c>
      <c r="H143" t="s">
        <v>87</v>
      </c>
    </row>
    <row r="144" spans="3:8">
      <c r="C144">
        <v>137</v>
      </c>
      <c r="D144" s="6">
        <v>286.3612</v>
      </c>
      <c r="E144" s="6">
        <f t="shared" si="7"/>
        <v>272.04313999999999</v>
      </c>
      <c r="F144" s="6">
        <v>136.71940000000001</v>
      </c>
      <c r="G144" s="6">
        <f t="shared" si="6"/>
        <v>130.45744274809161</v>
      </c>
      <c r="H144" t="s">
        <v>87</v>
      </c>
    </row>
    <row r="145" spans="3:8">
      <c r="C145">
        <v>138</v>
      </c>
      <c r="D145" s="6">
        <v>389.84129999999999</v>
      </c>
      <c r="E145" s="6">
        <f t="shared" si="7"/>
        <v>370.34923499999996</v>
      </c>
      <c r="F145" s="6">
        <v>251.54239999999999</v>
      </c>
      <c r="G145" s="6">
        <f t="shared" si="6"/>
        <v>240.02137404580154</v>
      </c>
      <c r="H145" t="s">
        <v>87</v>
      </c>
    </row>
    <row r="146" spans="3:8">
      <c r="C146">
        <v>139</v>
      </c>
      <c r="D146" s="6">
        <v>366.74950000000001</v>
      </c>
      <c r="E146" s="6">
        <f t="shared" si="7"/>
        <v>348.41202499999997</v>
      </c>
      <c r="F146" s="6">
        <v>258.5421</v>
      </c>
      <c r="G146" s="6">
        <f t="shared" si="6"/>
        <v>246.70047709923665</v>
      </c>
      <c r="H146" t="s">
        <v>87</v>
      </c>
    </row>
    <row r="147" spans="3:8">
      <c r="C147">
        <v>140</v>
      </c>
      <c r="D147" s="6">
        <v>268.83679999999998</v>
      </c>
      <c r="E147" s="6">
        <f t="shared" si="7"/>
        <v>255.39495999999997</v>
      </c>
      <c r="F147" s="6">
        <v>70.397800000000004</v>
      </c>
      <c r="G147" s="6">
        <f t="shared" si="6"/>
        <v>67.173473282442757</v>
      </c>
      <c r="H147" t="s">
        <v>87</v>
      </c>
    </row>
    <row r="148" spans="3:8">
      <c r="C148">
        <v>141</v>
      </c>
      <c r="D148" s="6">
        <v>100.2908</v>
      </c>
      <c r="E148" s="6">
        <f t="shared" si="7"/>
        <v>95.276259999999994</v>
      </c>
      <c r="F148" s="6">
        <v>126.437</v>
      </c>
      <c r="G148" s="6">
        <f t="shared" si="6"/>
        <v>120.64599236641222</v>
      </c>
      <c r="H148" t="s">
        <v>87</v>
      </c>
    </row>
    <row r="149" spans="3:8">
      <c r="C149">
        <v>142</v>
      </c>
      <c r="D149" s="6">
        <v>124.6909</v>
      </c>
      <c r="E149" s="6">
        <f t="shared" si="7"/>
        <v>118.45635499999999</v>
      </c>
      <c r="F149" s="6">
        <v>117.212</v>
      </c>
      <c r="G149" s="6">
        <f t="shared" si="6"/>
        <v>111.84351145038168</v>
      </c>
      <c r="H149" t="s">
        <v>87</v>
      </c>
    </row>
    <row r="150" spans="3:8">
      <c r="C150">
        <v>143</v>
      </c>
      <c r="D150" s="6">
        <v>401.4271</v>
      </c>
      <c r="E150" s="6">
        <f t="shared" si="7"/>
        <v>381.35574499999996</v>
      </c>
      <c r="F150" s="6">
        <v>250.34979999999999</v>
      </c>
      <c r="G150" s="6">
        <f t="shared" si="6"/>
        <v>238.88339694656489</v>
      </c>
      <c r="H150" t="s">
        <v>87</v>
      </c>
    </row>
    <row r="151" spans="3:8">
      <c r="C151">
        <v>144</v>
      </c>
      <c r="D151" s="6">
        <v>34.272500000000001</v>
      </c>
      <c r="E151" s="6">
        <f t="shared" si="7"/>
        <v>32.558875</v>
      </c>
      <c r="F151" s="6">
        <v>303.31760000000003</v>
      </c>
      <c r="G151" s="6">
        <f t="shared" si="6"/>
        <v>289.42519083969466</v>
      </c>
      <c r="H151" t="s">
        <v>87</v>
      </c>
    </row>
    <row r="152" spans="3:8">
      <c r="C152">
        <v>145</v>
      </c>
      <c r="D152" s="6">
        <v>231.67779999999999</v>
      </c>
      <c r="E152" s="6">
        <f t="shared" si="7"/>
        <v>220.09390999999999</v>
      </c>
      <c r="F152" s="6">
        <v>153.33869999999999</v>
      </c>
      <c r="G152" s="6">
        <f t="shared" si="6"/>
        <v>146.31555343511451</v>
      </c>
      <c r="H152" t="s">
        <v>87</v>
      </c>
    </row>
    <row r="153" spans="3:8">
      <c r="C153">
        <v>146</v>
      </c>
      <c r="D153" s="6">
        <v>93.872799999999998</v>
      </c>
      <c r="E153" s="6">
        <f t="shared" si="7"/>
        <v>89.179159999999996</v>
      </c>
      <c r="F153" s="6">
        <v>284.15589999999997</v>
      </c>
      <c r="G153" s="6">
        <f t="shared" si="6"/>
        <v>271.14112595419846</v>
      </c>
      <c r="H153" t="s">
        <v>87</v>
      </c>
    </row>
    <row r="154" spans="3:8">
      <c r="C154">
        <v>147</v>
      </c>
      <c r="D154" s="6">
        <v>440.87529999999998</v>
      </c>
      <c r="E154" s="6">
        <f t="shared" si="7"/>
        <v>418.83153499999997</v>
      </c>
      <c r="F154" s="6">
        <v>252.59960000000001</v>
      </c>
      <c r="G154" s="6">
        <f t="shared" si="6"/>
        <v>241.03015267175573</v>
      </c>
      <c r="H154" t="s">
        <v>87</v>
      </c>
    </row>
    <row r="155" spans="3:8">
      <c r="C155">
        <v>148</v>
      </c>
      <c r="D155" s="6">
        <v>587</v>
      </c>
      <c r="E155" s="6">
        <f t="shared" si="7"/>
        <v>557.65</v>
      </c>
      <c r="F155" s="6">
        <v>589</v>
      </c>
      <c r="G155" s="6">
        <f t="shared" si="6"/>
        <v>562.02290076335885</v>
      </c>
      <c r="H155" t="s">
        <v>93</v>
      </c>
    </row>
    <row r="156" spans="3:8">
      <c r="C156">
        <v>149</v>
      </c>
      <c r="D156" s="6">
        <v>236.20189999999999</v>
      </c>
      <c r="E156" s="6">
        <f t="shared" si="7"/>
        <v>224.39180499999998</v>
      </c>
      <c r="F156" s="6">
        <v>230.65110000000001</v>
      </c>
      <c r="G156" s="6">
        <f t="shared" si="6"/>
        <v>220.08692748091605</v>
      </c>
      <c r="H156" s="9" t="s">
        <v>87</v>
      </c>
    </row>
    <row r="157" spans="3:8">
      <c r="C157">
        <v>150</v>
      </c>
      <c r="D157" s="6">
        <v>223.6258</v>
      </c>
      <c r="E157" s="6">
        <f t="shared" si="7"/>
        <v>212.44450999999998</v>
      </c>
      <c r="F157" s="6">
        <v>166.03139999999999</v>
      </c>
      <c r="G157" s="6">
        <f t="shared" si="6"/>
        <v>158.42690839694657</v>
      </c>
      <c r="H157" s="9" t="s">
        <v>87</v>
      </c>
    </row>
    <row r="159" spans="3:8">
      <c r="C159" t="s">
        <v>41</v>
      </c>
      <c r="D159" s="6">
        <f>MEDIAN(D8:D157)</f>
        <v>231.32415</v>
      </c>
      <c r="E159" s="6">
        <f t="shared" ref="E159:G159" si="8">MEDIAN(E8:E157)</f>
        <v>219.75794250000001</v>
      </c>
      <c r="F159" s="6">
        <f t="shared" si="8"/>
        <v>195.75644999999997</v>
      </c>
      <c r="G159" s="6">
        <f t="shared" si="8"/>
        <v>186.79050572519083</v>
      </c>
    </row>
    <row r="160" spans="3:8">
      <c r="C160" t="s">
        <v>39</v>
      </c>
      <c r="D160" s="6">
        <f>MAX(D8:D157)</f>
        <v>598</v>
      </c>
      <c r="E160" s="6">
        <f t="shared" ref="E160:G160" si="9">MAX(E8:E157)</f>
        <v>568.1</v>
      </c>
      <c r="F160" s="6">
        <f t="shared" si="9"/>
        <v>595.98</v>
      </c>
      <c r="G160" s="6">
        <f t="shared" si="9"/>
        <v>568.68320610687022</v>
      </c>
    </row>
    <row r="161" spans="3:7">
      <c r="C161" t="s">
        <v>38</v>
      </c>
      <c r="D161" s="6">
        <f>MIN(D8:D157)</f>
        <v>28.592700000000001</v>
      </c>
      <c r="E161" s="6">
        <f t="shared" ref="E161:G161" si="10">MIN(E8:E157)</f>
        <v>27.163065</v>
      </c>
      <c r="F161" s="6">
        <f t="shared" si="10"/>
        <v>54.646099999999997</v>
      </c>
      <c r="G161" s="6">
        <f t="shared" si="10"/>
        <v>52.143225190839694</v>
      </c>
    </row>
    <row r="162" spans="3:7">
      <c r="C162" t="s">
        <v>26</v>
      </c>
      <c r="D162">
        <f>AVERAGE(D8:D157)</f>
        <v>238.04091866666656</v>
      </c>
      <c r="E162">
        <f t="shared" ref="E162:G162" si="11">AVERAGE(E8:E157)</f>
        <v>226.13887273333336</v>
      </c>
      <c r="F162">
        <f t="shared" si="11"/>
        <v>201.30943333333335</v>
      </c>
      <c r="G162">
        <f t="shared" si="11"/>
        <v>192.0891539440203</v>
      </c>
    </row>
    <row r="163" spans="3:7">
      <c r="C163" t="s">
        <v>113</v>
      </c>
      <c r="D163">
        <f>_xlfn.STDEV.S(D8:D157)</f>
        <v>124.54150442852519</v>
      </c>
      <c r="E163">
        <f t="shared" ref="E163:G163" si="12">_xlfn.STDEV.S(E8:E157)</f>
        <v>118.31442920709874</v>
      </c>
      <c r="F163">
        <f t="shared" si="12"/>
        <v>95.17682181349727</v>
      </c>
      <c r="G163">
        <f t="shared" si="12"/>
        <v>90.817578066314198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7"/>
  <sheetViews>
    <sheetView workbookViewId="0">
      <selection activeCell="O17" sqref="O17"/>
    </sheetView>
  </sheetViews>
  <sheetFormatPr baseColWidth="10" defaultRowHeight="15"/>
  <cols>
    <col min="3" max="3" width="8.1640625" customWidth="1"/>
    <col min="4" max="4" width="11.6640625" customWidth="1"/>
    <col min="5" max="5" width="17.1640625" customWidth="1"/>
    <col min="6" max="6" width="21.83203125" customWidth="1"/>
    <col min="7" max="7" width="19.5" customWidth="1"/>
    <col min="8" max="8" width="14.5" customWidth="1"/>
  </cols>
  <sheetData>
    <row r="1" spans="2:15">
      <c r="B1" s="8" t="s">
        <v>90</v>
      </c>
      <c r="K1" s="8" t="s">
        <v>182</v>
      </c>
      <c r="O1" s="3"/>
    </row>
    <row r="2" spans="2:15" ht="28" customHeight="1" thickBot="1">
      <c r="C2" s="17"/>
      <c r="D2" s="11"/>
      <c r="E2" s="78" t="s">
        <v>106</v>
      </c>
      <c r="F2" s="78"/>
      <c r="G2" s="78"/>
      <c r="H2" s="79"/>
      <c r="K2" s="8" t="s">
        <v>91</v>
      </c>
      <c r="O2" s="3"/>
    </row>
    <row r="3" spans="2:15" ht="30">
      <c r="C3" s="40" t="s">
        <v>64</v>
      </c>
      <c r="D3" s="41" t="s">
        <v>105</v>
      </c>
      <c r="E3" s="42" t="s">
        <v>123</v>
      </c>
      <c r="F3" s="42" t="s">
        <v>117</v>
      </c>
      <c r="G3" s="42" t="s">
        <v>30</v>
      </c>
      <c r="H3" s="43" t="s">
        <v>118</v>
      </c>
      <c r="K3" t="s">
        <v>40</v>
      </c>
      <c r="L3" t="s">
        <v>183</v>
      </c>
      <c r="O3" s="3"/>
    </row>
    <row r="4" spans="2:15">
      <c r="C4" s="77">
        <v>1</v>
      </c>
      <c r="D4" s="30">
        <v>1</v>
      </c>
      <c r="E4" s="30">
        <v>0</v>
      </c>
      <c r="F4" s="30">
        <v>300</v>
      </c>
      <c r="G4" s="30">
        <v>27585</v>
      </c>
      <c r="H4" s="31">
        <v>0</v>
      </c>
      <c r="K4">
        <v>10.8</v>
      </c>
      <c r="L4">
        <v>993</v>
      </c>
      <c r="O4" s="3"/>
    </row>
    <row r="5" spans="2:15">
      <c r="C5" s="75"/>
      <c r="D5" s="26">
        <v>2</v>
      </c>
      <c r="E5" s="26">
        <v>0</v>
      </c>
      <c r="F5" s="26">
        <v>200</v>
      </c>
      <c r="G5" s="26">
        <v>18390</v>
      </c>
      <c r="H5" s="27">
        <v>0</v>
      </c>
      <c r="K5">
        <f>K4*9.26</f>
        <v>100.00800000000001</v>
      </c>
      <c r="L5">
        <f>L4*9.26</f>
        <v>9195.18</v>
      </c>
      <c r="O5" s="3"/>
    </row>
    <row r="6" spans="2:15" ht="21" customHeight="1">
      <c r="C6" s="76"/>
      <c r="D6" s="28">
        <v>3</v>
      </c>
      <c r="E6" s="28">
        <v>0</v>
      </c>
      <c r="F6" s="28">
        <v>100</v>
      </c>
      <c r="G6" s="28">
        <v>9195</v>
      </c>
      <c r="H6" s="29">
        <v>0</v>
      </c>
      <c r="K6">
        <f>K4*92.593</f>
        <v>1000.0044000000001</v>
      </c>
      <c r="L6">
        <f>L4*92.593</f>
        <v>91944.849000000002</v>
      </c>
      <c r="O6" s="3"/>
    </row>
    <row r="7" spans="2:15">
      <c r="C7" s="77">
        <v>2</v>
      </c>
      <c r="D7" s="30">
        <v>4</v>
      </c>
      <c r="E7" s="30">
        <v>869565.21739130432</v>
      </c>
      <c r="F7" s="30">
        <v>300</v>
      </c>
      <c r="G7" s="30">
        <v>27585</v>
      </c>
      <c r="H7" s="31">
        <v>0</v>
      </c>
      <c r="O7" s="3"/>
    </row>
    <row r="8" spans="2:15">
      <c r="C8" s="75"/>
      <c r="D8" s="26">
        <v>5</v>
      </c>
      <c r="E8" s="26">
        <v>869565.21739130432</v>
      </c>
      <c r="F8" s="26">
        <v>200</v>
      </c>
      <c r="G8" s="26">
        <v>18390</v>
      </c>
      <c r="H8" s="27">
        <v>0</v>
      </c>
      <c r="O8" s="3"/>
    </row>
    <row r="9" spans="2:15">
      <c r="C9" s="75"/>
      <c r="D9" s="26">
        <v>6</v>
      </c>
      <c r="E9" s="26">
        <v>869565.21739130432</v>
      </c>
      <c r="F9" s="26">
        <v>100</v>
      </c>
      <c r="G9" s="26">
        <v>9195</v>
      </c>
      <c r="H9" s="27">
        <v>0</v>
      </c>
      <c r="O9" s="3"/>
    </row>
    <row r="10" spans="2:15" ht="18" customHeight="1">
      <c r="C10" s="76"/>
      <c r="D10" s="28">
        <v>7</v>
      </c>
      <c r="E10" s="28">
        <v>869565.21739130432</v>
      </c>
      <c r="F10" s="28">
        <v>0</v>
      </c>
      <c r="G10" s="28">
        <v>0</v>
      </c>
      <c r="H10" s="29">
        <v>0</v>
      </c>
      <c r="O10" s="3"/>
    </row>
    <row r="11" spans="2:15">
      <c r="C11" s="77">
        <v>3</v>
      </c>
      <c r="D11" s="30">
        <v>8</v>
      </c>
      <c r="E11" s="30">
        <v>869565.21739130432</v>
      </c>
      <c r="F11" s="30">
        <v>50</v>
      </c>
      <c r="G11" s="30">
        <f>G4/2</f>
        <v>13792.5</v>
      </c>
      <c r="H11" s="31">
        <v>0</v>
      </c>
      <c r="K11" s="8" t="s">
        <v>91</v>
      </c>
      <c r="O11" s="3"/>
    </row>
    <row r="12" spans="2:15">
      <c r="C12" s="75"/>
      <c r="D12" s="26">
        <v>9</v>
      </c>
      <c r="E12" s="26">
        <v>869565.21739130432</v>
      </c>
      <c r="F12" s="26">
        <v>25</v>
      </c>
      <c r="G12" s="26">
        <f>G11/2</f>
        <v>6896.25</v>
      </c>
      <c r="H12" s="27">
        <v>0</v>
      </c>
      <c r="J12" s="1"/>
      <c r="K12" s="1" t="s">
        <v>109</v>
      </c>
      <c r="L12" s="1" t="s">
        <v>111</v>
      </c>
      <c r="M12" s="1" t="s">
        <v>110</v>
      </c>
      <c r="N12" s="1"/>
      <c r="O12" s="3"/>
    </row>
    <row r="13" spans="2:15">
      <c r="C13" s="75"/>
      <c r="D13" s="26">
        <v>10</v>
      </c>
      <c r="E13" s="26">
        <v>869565.21739130432</v>
      </c>
      <c r="F13" s="33">
        <v>12.5</v>
      </c>
      <c r="G13" s="26">
        <f>G12/2</f>
        <v>3448.125</v>
      </c>
      <c r="H13" s="27">
        <v>0</v>
      </c>
      <c r="J13" s="32">
        <v>300</v>
      </c>
      <c r="K13" s="26">
        <f>K15*3</f>
        <v>27585</v>
      </c>
      <c r="L13" s="1">
        <f>K13/1150</f>
        <v>23.986956521739131</v>
      </c>
      <c r="M13" s="1">
        <f>L13*1000</f>
        <v>23986.956521739132</v>
      </c>
      <c r="N13" s="1"/>
      <c r="O13" s="3"/>
    </row>
    <row r="14" spans="2:15" ht="19" customHeight="1">
      <c r="C14" s="76"/>
      <c r="D14" s="28">
        <v>11</v>
      </c>
      <c r="E14" s="28">
        <v>869565.21739130432</v>
      </c>
      <c r="F14" s="28">
        <v>0</v>
      </c>
      <c r="G14" s="28">
        <v>0</v>
      </c>
      <c r="H14" s="29">
        <v>0</v>
      </c>
      <c r="J14" s="32">
        <v>200</v>
      </c>
      <c r="K14" s="26">
        <f>K15*2</f>
        <v>18390</v>
      </c>
      <c r="L14" s="1">
        <f>K14/1150</f>
        <v>15.991304347826087</v>
      </c>
      <c r="M14" s="1">
        <f t="shared" ref="M14:M18" si="0">L14*1000</f>
        <v>15991.304347826088</v>
      </c>
      <c r="N14" s="1"/>
      <c r="O14" s="3"/>
    </row>
    <row r="15" spans="2:15">
      <c r="C15" s="77">
        <v>4</v>
      </c>
      <c r="D15" s="30">
        <v>12</v>
      </c>
      <c r="E15" s="30">
        <v>869565.21739130432</v>
      </c>
      <c r="F15" s="30">
        <v>50</v>
      </c>
      <c r="G15" s="30">
        <v>4597.5</v>
      </c>
      <c r="H15" s="31">
        <v>150</v>
      </c>
      <c r="J15" s="32">
        <v>100</v>
      </c>
      <c r="K15" s="26">
        <v>9195</v>
      </c>
      <c r="L15" s="1">
        <f>K15/1150</f>
        <v>7.9956521739130437</v>
      </c>
      <c r="M15" s="1">
        <f>L15*1000</f>
        <v>7995.652173913044</v>
      </c>
      <c r="N15" s="1"/>
      <c r="O15" s="3"/>
    </row>
    <row r="16" spans="2:15">
      <c r="C16" s="75"/>
      <c r="D16" s="26">
        <v>13</v>
      </c>
      <c r="E16" s="26">
        <v>869565.21739130432</v>
      </c>
      <c r="F16" s="26">
        <v>25</v>
      </c>
      <c r="G16" s="26">
        <v>2298.75</v>
      </c>
      <c r="H16" s="27">
        <v>150</v>
      </c>
      <c r="J16" s="32">
        <v>50</v>
      </c>
      <c r="K16" s="26">
        <v>4597.5</v>
      </c>
      <c r="L16" s="1">
        <f t="shared" ref="L16:L18" si="1">K16/1150</f>
        <v>3.9978260869565219</v>
      </c>
      <c r="M16" s="1">
        <f t="shared" si="0"/>
        <v>3997.826086956522</v>
      </c>
      <c r="N16" s="1"/>
      <c r="O16" s="3"/>
    </row>
    <row r="17" spans="3:15">
      <c r="C17" s="75"/>
      <c r="D17" s="26">
        <v>14</v>
      </c>
      <c r="E17" s="26">
        <v>869565.21739130432</v>
      </c>
      <c r="F17" s="33">
        <v>12.5</v>
      </c>
      <c r="G17" s="26">
        <v>1149.375</v>
      </c>
      <c r="H17" s="27">
        <v>150</v>
      </c>
      <c r="J17" s="32">
        <v>25</v>
      </c>
      <c r="K17" s="26">
        <v>2298.75</v>
      </c>
      <c r="L17" s="1">
        <f t="shared" si="1"/>
        <v>1.9989130434782609</v>
      </c>
      <c r="M17" s="1">
        <f t="shared" si="0"/>
        <v>1998.913043478261</v>
      </c>
      <c r="N17" s="1"/>
      <c r="O17" s="3"/>
    </row>
    <row r="18" spans="3:15">
      <c r="C18" s="76"/>
      <c r="D18" s="28">
        <v>15</v>
      </c>
      <c r="E18" s="28">
        <v>869565.21739130432</v>
      </c>
      <c r="F18" s="28">
        <v>0</v>
      </c>
      <c r="G18" s="28">
        <v>0</v>
      </c>
      <c r="H18" s="29">
        <v>0</v>
      </c>
      <c r="J18" s="34">
        <v>12.5</v>
      </c>
      <c r="K18" s="26">
        <v>1149.375</v>
      </c>
      <c r="L18" s="1">
        <f t="shared" si="1"/>
        <v>0.99945652173913047</v>
      </c>
      <c r="M18" s="1">
        <f t="shared" si="0"/>
        <v>999.45652173913049</v>
      </c>
      <c r="N18" s="1"/>
      <c r="O18" s="3"/>
    </row>
    <row r="19" spans="3:15">
      <c r="J19" s="1"/>
      <c r="K19" s="1"/>
      <c r="L19" s="1"/>
      <c r="M19" s="1"/>
      <c r="N19" s="1"/>
      <c r="O19" s="3"/>
    </row>
    <row r="20" spans="3:15" ht="8" customHeight="1">
      <c r="J20" s="1"/>
      <c r="K20" s="1"/>
      <c r="L20" s="1"/>
      <c r="M20" s="1"/>
      <c r="N20" s="1"/>
      <c r="O20" s="3"/>
    </row>
    <row r="21" spans="3:15" ht="22" customHeight="1">
      <c r="C21" s="44"/>
      <c r="D21" s="45"/>
      <c r="E21" s="72" t="s">
        <v>121</v>
      </c>
      <c r="F21" s="72"/>
      <c r="G21" s="72"/>
      <c r="H21" s="73"/>
      <c r="K21" s="8" t="s">
        <v>119</v>
      </c>
    </row>
    <row r="22" spans="3:15" ht="33" customHeight="1">
      <c r="C22" s="40" t="s">
        <v>64</v>
      </c>
      <c r="D22" s="41" t="s">
        <v>105</v>
      </c>
      <c r="E22" s="42" t="s">
        <v>124</v>
      </c>
      <c r="F22" s="42" t="s">
        <v>117</v>
      </c>
      <c r="G22" s="42" t="s">
        <v>30</v>
      </c>
      <c r="H22" s="43" t="s">
        <v>118</v>
      </c>
      <c r="I22" s="26"/>
      <c r="J22" s="1"/>
      <c r="K22" s="1" t="s">
        <v>109</v>
      </c>
      <c r="L22" s="1" t="s">
        <v>111</v>
      </c>
      <c r="M22" s="1" t="s">
        <v>110</v>
      </c>
    </row>
    <row r="23" spans="3:15">
      <c r="C23" s="74">
        <v>1</v>
      </c>
      <c r="D23" s="26">
        <v>1</v>
      </c>
      <c r="E23" s="26">
        <v>0</v>
      </c>
      <c r="F23" s="26">
        <v>261</v>
      </c>
      <c r="G23" s="26">
        <v>24000</v>
      </c>
      <c r="H23" s="27">
        <v>0</v>
      </c>
      <c r="I23" s="1"/>
      <c r="J23" s="1"/>
      <c r="K23" s="32">
        <v>300</v>
      </c>
      <c r="L23">
        <f>K23/1150</f>
        <v>0.2608695652173913</v>
      </c>
      <c r="M23">
        <f>L23*1000</f>
        <v>260.86956521739131</v>
      </c>
    </row>
    <row r="24" spans="3:15">
      <c r="C24" s="75"/>
      <c r="D24" s="26">
        <v>2</v>
      </c>
      <c r="E24" s="26">
        <v>0</v>
      </c>
      <c r="F24" s="26">
        <v>174</v>
      </c>
      <c r="G24" s="26">
        <v>16000</v>
      </c>
      <c r="H24" s="27">
        <v>0</v>
      </c>
      <c r="I24" s="1"/>
      <c r="J24" s="1"/>
      <c r="K24" s="32">
        <v>200</v>
      </c>
      <c r="L24">
        <f t="shared" ref="L24:L28" si="2">K24/1150</f>
        <v>0.17391304347826086</v>
      </c>
      <c r="M24">
        <f t="shared" ref="M24:M28" si="3">L24*1000</f>
        <v>173.91304347826087</v>
      </c>
    </row>
    <row r="25" spans="3:15">
      <c r="C25" s="76"/>
      <c r="D25" s="28">
        <v>3</v>
      </c>
      <c r="E25" s="28">
        <v>0</v>
      </c>
      <c r="F25" s="28">
        <v>87</v>
      </c>
      <c r="G25" s="28">
        <v>8000</v>
      </c>
      <c r="H25" s="29">
        <v>0</v>
      </c>
      <c r="I25" s="1"/>
      <c r="J25" s="1"/>
      <c r="K25" s="32">
        <v>100</v>
      </c>
      <c r="L25">
        <f t="shared" si="2"/>
        <v>8.6956521739130432E-2</v>
      </c>
      <c r="M25">
        <f t="shared" si="3"/>
        <v>86.956521739130437</v>
      </c>
    </row>
    <row r="26" spans="3:15" ht="17">
      <c r="C26" s="77">
        <v>2</v>
      </c>
      <c r="D26" s="30">
        <v>4</v>
      </c>
      <c r="E26" s="30" t="s">
        <v>116</v>
      </c>
      <c r="F26" s="30">
        <v>261</v>
      </c>
      <c r="G26" s="30">
        <v>24000</v>
      </c>
      <c r="H26" s="31">
        <v>0</v>
      </c>
      <c r="I26" s="1"/>
      <c r="J26" s="1"/>
      <c r="K26" s="32">
        <v>50</v>
      </c>
      <c r="L26">
        <f t="shared" si="2"/>
        <v>4.3478260869565216E-2</v>
      </c>
      <c r="M26">
        <f t="shared" si="3"/>
        <v>43.478260869565219</v>
      </c>
    </row>
    <row r="27" spans="3:15" ht="17">
      <c r="C27" s="75"/>
      <c r="D27" s="26">
        <v>5</v>
      </c>
      <c r="E27" s="26" t="s">
        <v>116</v>
      </c>
      <c r="F27" s="26">
        <v>174</v>
      </c>
      <c r="G27" s="26">
        <v>16000</v>
      </c>
      <c r="H27" s="27">
        <v>0</v>
      </c>
      <c r="I27" s="1"/>
      <c r="J27" s="1"/>
      <c r="K27" s="32">
        <v>25</v>
      </c>
      <c r="L27">
        <f t="shared" si="2"/>
        <v>2.1739130434782608E-2</v>
      </c>
      <c r="M27">
        <f t="shared" si="3"/>
        <v>21.739130434782609</v>
      </c>
    </row>
    <row r="28" spans="3:15" ht="17">
      <c r="C28" s="75"/>
      <c r="D28" s="26">
        <v>6</v>
      </c>
      <c r="E28" s="26" t="s">
        <v>116</v>
      </c>
      <c r="F28" s="26">
        <v>87</v>
      </c>
      <c r="G28" s="26">
        <v>8000</v>
      </c>
      <c r="H28" s="27">
        <v>0</v>
      </c>
      <c r="I28" s="1"/>
      <c r="J28" s="1"/>
      <c r="K28" s="34">
        <v>12.5</v>
      </c>
      <c r="L28">
        <f t="shared" si="2"/>
        <v>1.0869565217391304E-2</v>
      </c>
      <c r="M28">
        <f t="shared" si="3"/>
        <v>10.869565217391305</v>
      </c>
    </row>
    <row r="29" spans="3:15" ht="17">
      <c r="C29" s="76"/>
      <c r="D29" s="28">
        <v>7</v>
      </c>
      <c r="E29" s="28" t="s">
        <v>116</v>
      </c>
      <c r="F29" s="28">
        <v>0</v>
      </c>
      <c r="G29" s="28">
        <v>0</v>
      </c>
      <c r="H29" s="29">
        <v>0</v>
      </c>
      <c r="I29" s="1"/>
      <c r="J29" s="1"/>
    </row>
    <row r="30" spans="3:15" ht="17">
      <c r="C30" s="77">
        <v>3</v>
      </c>
      <c r="D30" s="30">
        <v>8</v>
      </c>
      <c r="E30" s="30" t="s">
        <v>116</v>
      </c>
      <c r="F30" s="30">
        <v>43</v>
      </c>
      <c r="G30" s="30">
        <v>4000</v>
      </c>
      <c r="H30" s="31">
        <v>0</v>
      </c>
      <c r="K30" s="8" t="s">
        <v>120</v>
      </c>
    </row>
    <row r="31" spans="3:15" ht="17">
      <c r="C31" s="75"/>
      <c r="D31" s="26">
        <v>9</v>
      </c>
      <c r="E31" s="26" t="s">
        <v>116</v>
      </c>
      <c r="F31" s="26">
        <v>22</v>
      </c>
      <c r="G31" s="26">
        <v>2000</v>
      </c>
      <c r="H31" s="27">
        <v>0</v>
      </c>
      <c r="K31" s="1" t="s">
        <v>109</v>
      </c>
      <c r="L31" s="1" t="s">
        <v>111</v>
      </c>
      <c r="M31" s="1" t="s">
        <v>110</v>
      </c>
    </row>
    <row r="32" spans="3:15" ht="17">
      <c r="C32" s="75"/>
      <c r="D32" s="26">
        <v>10</v>
      </c>
      <c r="E32" s="26" t="s">
        <v>116</v>
      </c>
      <c r="F32" s="26">
        <v>11</v>
      </c>
      <c r="G32" s="26">
        <v>1000</v>
      </c>
      <c r="H32" s="27">
        <v>0</v>
      </c>
      <c r="K32" s="32">
        <v>150</v>
      </c>
      <c r="L32">
        <f>K32/1150</f>
        <v>0.13043478260869565</v>
      </c>
      <c r="M32">
        <f>L32*1000</f>
        <v>130.43478260869566</v>
      </c>
    </row>
    <row r="33" spans="3:13" ht="17">
      <c r="C33" s="76"/>
      <c r="D33" s="26">
        <v>11</v>
      </c>
      <c r="E33" s="26" t="s">
        <v>116</v>
      </c>
      <c r="F33" s="26">
        <v>0</v>
      </c>
      <c r="G33" s="26">
        <v>0</v>
      </c>
      <c r="H33" s="27">
        <v>0</v>
      </c>
    </row>
    <row r="34" spans="3:13" ht="17">
      <c r="C34" s="77">
        <v>4</v>
      </c>
      <c r="D34" s="38">
        <v>12</v>
      </c>
      <c r="E34" s="30" t="s">
        <v>116</v>
      </c>
      <c r="F34" s="30">
        <v>43</v>
      </c>
      <c r="G34" s="30">
        <v>4000</v>
      </c>
      <c r="H34" s="31">
        <v>130</v>
      </c>
      <c r="K34" s="8" t="s">
        <v>122</v>
      </c>
    </row>
    <row r="35" spans="3:13" ht="17">
      <c r="C35" s="75"/>
      <c r="D35" s="35">
        <v>13</v>
      </c>
      <c r="E35" s="26" t="s">
        <v>116</v>
      </c>
      <c r="F35" s="26">
        <v>22</v>
      </c>
      <c r="G35" s="26">
        <v>2000</v>
      </c>
      <c r="H35" s="27">
        <v>130</v>
      </c>
      <c r="K35" s="1" t="s">
        <v>109</v>
      </c>
      <c r="L35" s="1" t="s">
        <v>111</v>
      </c>
      <c r="M35" s="1" t="s">
        <v>110</v>
      </c>
    </row>
    <row r="36" spans="3:13" ht="17">
      <c r="C36" s="75"/>
      <c r="D36" s="35">
        <v>14</v>
      </c>
      <c r="E36" s="26" t="s">
        <v>116</v>
      </c>
      <c r="F36" s="26">
        <v>11</v>
      </c>
      <c r="G36" s="26">
        <v>1000</v>
      </c>
      <c r="H36" s="27">
        <v>130</v>
      </c>
      <c r="K36" s="28">
        <v>1000000</v>
      </c>
      <c r="L36">
        <f>K36/1150</f>
        <v>869.56521739130437</v>
      </c>
      <c r="M36">
        <f>L36*1000</f>
        <v>869565.21739130432</v>
      </c>
    </row>
    <row r="37" spans="3:13" ht="17">
      <c r="C37" s="76"/>
      <c r="D37" s="46">
        <v>15</v>
      </c>
      <c r="E37" s="28" t="s">
        <v>116</v>
      </c>
      <c r="F37" s="28">
        <v>0</v>
      </c>
      <c r="G37" s="28">
        <v>0</v>
      </c>
      <c r="H37" s="29">
        <v>0</v>
      </c>
    </row>
  </sheetData>
  <mergeCells count="10">
    <mergeCell ref="C15:C18"/>
    <mergeCell ref="C4:C6"/>
    <mergeCell ref="C7:C10"/>
    <mergeCell ref="C11:C14"/>
    <mergeCell ref="E2:H2"/>
    <mergeCell ref="E21:H21"/>
    <mergeCell ref="C23:C25"/>
    <mergeCell ref="C26:C29"/>
    <mergeCell ref="C30:C33"/>
    <mergeCell ref="C34:C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Product info&amp;plastic %</vt:lpstr>
      <vt:lpstr>Buoyancy behavior</vt:lpstr>
      <vt:lpstr>Size distribution (Nivea)</vt:lpstr>
      <vt:lpstr>Size distribution (Neutrogena) </vt:lpstr>
      <vt:lpstr>Size distribution (Clearasil)</vt:lpstr>
      <vt:lpstr>Size distribution (Garnier)</vt:lpstr>
      <vt:lpstr>Size distribution (Neutrogena)</vt:lpstr>
      <vt:lpstr>Size distribution (Essence)</vt:lpstr>
      <vt:lpstr>Experimental set-ups</vt:lpstr>
      <vt:lpstr>Aggregate size set-up1</vt:lpstr>
      <vt:lpstr>Aggregate size set-up 2</vt:lpstr>
      <vt:lpstr>Aggregate size set-up 3</vt:lpstr>
      <vt:lpstr>Aggregate size set-up 4</vt:lpstr>
      <vt:lpstr>Aggregate size pure algae</vt:lpstr>
      <vt:lpstr>Turbidity set-up 1</vt:lpstr>
      <vt:lpstr>Turbidity set-up 2</vt:lpstr>
      <vt:lpstr>Turbidity set-up 3</vt:lpstr>
      <vt:lpstr>Turbidity set-up 4</vt:lpstr>
      <vt:lpstr>Settling velocity algae</vt:lpstr>
      <vt:lpstr>Settling velocity set-up 3</vt:lpstr>
      <vt:lpstr>Settling velocity set-up 4</vt:lpstr>
      <vt:lpstr>Summary settling velocity</vt:lpstr>
      <vt:lpstr>Resuspension behaviour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Paula Moehlenkamp</cp:lastModifiedBy>
  <cp:lastPrinted>2017-12-14T23:59:39Z</cp:lastPrinted>
  <dcterms:created xsi:type="dcterms:W3CDTF">2014-11-13T12:40:32Z</dcterms:created>
  <dcterms:modified xsi:type="dcterms:W3CDTF">2018-05-20T00:16:04Z</dcterms:modified>
</cp:coreProperties>
</file>