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19420" tabRatio="954" activeTab="5"/>
  </bookViews>
  <sheets>
    <sheet name="Metadata" sheetId="1" r:id="rId1"/>
    <sheet name="Feed" sheetId="2" r:id="rId2"/>
    <sheet name="Ingredient" sheetId="3" r:id="rId3"/>
    <sheet name="Feces" sheetId="4" r:id="rId4"/>
    <sheet name="WBF" sheetId="5" r:id="rId5"/>
    <sheet name="Digestibility" sheetId="6" r:id="rId6"/>
    <sheet name="Phosphorus Budget" sheetId="7" r:id="rId7"/>
    <sheet name="Feeding Data" sheetId="8" r:id="rId8"/>
  </sheets>
  <definedNames/>
  <calcPr fullCalcOnLoad="1"/>
</workbook>
</file>

<file path=xl/sharedStrings.xml><?xml version="1.0" encoding="utf-8"?>
<sst xmlns="http://schemas.openxmlformats.org/spreadsheetml/2006/main" count="808" uniqueCount="353">
  <si>
    <r>
      <t>% phosphorus in sample as determined by phosphorus anal</t>
    </r>
    <r>
      <rPr>
        <sz val="10"/>
        <rFont val="Verdana"/>
        <family val="2"/>
      </rPr>
      <t>ysis (Lachat)</t>
    </r>
  </si>
  <si>
    <t>Estimated Total Feed Consumed 2/1-4/3</t>
  </si>
  <si>
    <t>% Dry Matter</t>
  </si>
  <si>
    <t>Sample #</t>
  </si>
  <si>
    <t>Type</t>
  </si>
  <si>
    <t>Tank #</t>
  </si>
  <si>
    <t>diet</t>
  </si>
  <si>
    <t>Mean %DM</t>
  </si>
  <si>
    <t>SE</t>
  </si>
  <si>
    <t>Total Average:</t>
  </si>
  <si>
    <t>Mean Dissolved P (g/kg)</t>
  </si>
  <si>
    <t>Mean Solid P (g/kg)</t>
  </si>
  <si>
    <t>Mean Total P Load (g/kg)</t>
  </si>
  <si>
    <t>Mean P Retention (%)</t>
  </si>
  <si>
    <t>SE (Dissolved)</t>
  </si>
  <si>
    <t>SE (Solid)</t>
  </si>
  <si>
    <t>SE (Total Load)</t>
  </si>
  <si>
    <t>SE (% Retention)</t>
  </si>
  <si>
    <t>Dry Sample
with Cup (g)</t>
  </si>
  <si>
    <t>g P/kg Diet</t>
  </si>
  <si>
    <t>g P/kg Ingredient</t>
  </si>
  <si>
    <t>Crucible ID</t>
  </si>
  <si>
    <t>Fish Meal</t>
  </si>
  <si>
    <t>Spirulina</t>
  </si>
  <si>
    <t>CV (%)</t>
  </si>
  <si>
    <t>Mean % P</t>
  </si>
  <si>
    <t>SD</t>
  </si>
  <si>
    <t>Diet</t>
  </si>
  <si>
    <t>Mean %P in Feces</t>
  </si>
  <si>
    <t>SD</t>
  </si>
  <si>
    <t>CV (%)</t>
  </si>
  <si>
    <t>A</t>
  </si>
  <si>
    <t>Mean % AIA in Feces</t>
  </si>
  <si>
    <t>Digestible P (g/kg)</t>
  </si>
  <si>
    <t>REAL DRY MATTER:</t>
  </si>
  <si>
    <t>WBF</t>
  </si>
  <si>
    <t>A</t>
  </si>
  <si>
    <t>A</t>
  </si>
  <si>
    <t>D</t>
  </si>
  <si>
    <t>D</t>
  </si>
  <si>
    <t>C</t>
  </si>
  <si>
    <t>B</t>
  </si>
  <si>
    <t>0(10?)</t>
  </si>
  <si>
    <t>35(D-17)</t>
  </si>
  <si>
    <t>0(very blurry)</t>
  </si>
  <si>
    <t>E-49</t>
  </si>
  <si>
    <t>11(F-5)</t>
  </si>
  <si>
    <t>1?(0 not blurry)</t>
  </si>
  <si>
    <t>2 (F-5)</t>
  </si>
  <si>
    <t>21(F-47</t>
  </si>
  <si>
    <t>D-17(7?)</t>
  </si>
  <si>
    <t>20(B-13)</t>
  </si>
  <si>
    <t>10(F-47)</t>
  </si>
  <si>
    <t>33(E-49)</t>
  </si>
  <si>
    <t>1'(E-49)</t>
  </si>
  <si>
    <t>(F-5)</t>
  </si>
  <si>
    <t>27(E-49)</t>
  </si>
  <si>
    <t>34(F-47)</t>
  </si>
  <si>
    <t>Weight of Acid-Insoluble-Ash expressed as a percentage of dry sample weight: (AIA/dry sample)*100</t>
  </si>
  <si>
    <t>22(F-5)</t>
  </si>
  <si>
    <t>25(blurry 0)</t>
  </si>
  <si>
    <t>29(D-16)</t>
  </si>
  <si>
    <t>Tank</t>
  </si>
  <si>
    <t>Crucible</t>
  </si>
  <si>
    <t>5(F-5)</t>
  </si>
  <si>
    <t>11(F-5)</t>
  </si>
  <si>
    <t>Mean of % dry matter for the three replicates</t>
  </si>
  <si>
    <t>35 (D-17)</t>
  </si>
  <si>
    <t>Sample #</t>
  </si>
  <si>
    <t>Type</t>
  </si>
  <si>
    <t>Diet</t>
  </si>
  <si>
    <t>Crucible #</t>
  </si>
  <si>
    <t>Empty Cup (g)</t>
  </si>
  <si>
    <t>Weight of Acid-Insoluble-Ash and filter and cup after acid digestion (g)</t>
  </si>
  <si>
    <r>
      <t>% phosphorus in sample as determined by phosphorus analysis (</t>
    </r>
    <r>
      <rPr>
        <sz val="10"/>
        <color indexed="10"/>
        <rFont val="Verdana"/>
        <family val="2"/>
      </rPr>
      <t>Lachete?</t>
    </r>
    <r>
      <rPr>
        <sz val="10"/>
        <rFont val="Verdana"/>
        <family val="0"/>
      </rPr>
      <t>)</t>
    </r>
  </si>
  <si>
    <t xml:space="preserve">g/kg of p digested in ingredient </t>
  </si>
  <si>
    <r>
      <t xml:space="preserve">Bold Blue indicates outlier - not used in calculations of averages or digestibility, </t>
    </r>
    <r>
      <rPr>
        <sz val="10"/>
        <color indexed="48"/>
        <rFont val="Verdana"/>
        <family val="2"/>
      </rPr>
      <t>regular blue indicates average that excludes at least one outlier</t>
    </r>
  </si>
  <si>
    <t>g/kg Phosphorus</t>
  </si>
  <si>
    <t>g P/kg Ingredient</t>
  </si>
  <si>
    <t>Diet C (Chlorella) SE</t>
  </si>
  <si>
    <t>Schizochytrium SE</t>
  </si>
  <si>
    <t>Diet D (Schizochytrium) SE</t>
  </si>
  <si>
    <t xml:space="preserve">Spirulina </t>
  </si>
  <si>
    <t>Chlorella</t>
  </si>
  <si>
    <t>Schizochytrium</t>
  </si>
  <si>
    <t>Diet A (Fishmeal) SE</t>
  </si>
  <si>
    <t>B</t>
  </si>
  <si>
    <t>B</t>
  </si>
  <si>
    <t>B</t>
  </si>
  <si>
    <t>18(F-5)</t>
  </si>
  <si>
    <t>Weight of ashed sample (after muffle furnace) and empty cup (g)</t>
  </si>
  <si>
    <t>Tank #</t>
  </si>
  <si>
    <t>Ingredient</t>
  </si>
  <si>
    <t>Ingredient</t>
  </si>
  <si>
    <t>Mean %DryMatter</t>
  </si>
  <si>
    <t>SD</t>
  </si>
  <si>
    <t>CV (%)</t>
  </si>
  <si>
    <t>Mean %Ash</t>
  </si>
  <si>
    <t>CV(%)</t>
  </si>
  <si>
    <t>Weight of moisture in wet sample expressed as a percentage of wet sample weight: [(wet sample -dry sample)/wet sample]</t>
  </si>
  <si>
    <t>C</t>
  </si>
  <si>
    <t>D</t>
  </si>
  <si>
    <t>Initial</t>
  </si>
  <si>
    <t>INGREDIENT</t>
  </si>
  <si>
    <t>Ingredient</t>
  </si>
  <si>
    <t>Ash with Cup (g)</t>
  </si>
  <si>
    <t>Ash (g)</t>
  </si>
  <si>
    <t>mean %P</t>
  </si>
  <si>
    <t>SD</t>
  </si>
  <si>
    <t>CV(%)</t>
  </si>
  <si>
    <t>SD</t>
  </si>
  <si>
    <t>CV (%)</t>
  </si>
  <si>
    <t>Mean %P</t>
  </si>
  <si>
    <t xml:space="preserve">Fishmeal </t>
  </si>
  <si>
    <t xml:space="preserve">Spirulina </t>
  </si>
  <si>
    <t xml:space="preserve">Spirulina </t>
  </si>
  <si>
    <t xml:space="preserve">Chlorella </t>
  </si>
  <si>
    <t xml:space="preserve">Schizochytrium </t>
  </si>
  <si>
    <t xml:space="preserve">Schizochytrium </t>
  </si>
  <si>
    <t xml:space="preserve">  Ingredient ADC of P</t>
  </si>
  <si>
    <t xml:space="preserve"> Feed ADC of P</t>
  </si>
  <si>
    <t>g/kg P in Feces</t>
  </si>
  <si>
    <t>Diet</t>
  </si>
  <si>
    <t>g/kg of P digested in feed</t>
  </si>
  <si>
    <t xml:space="preserve">Diet C (Chlorella) </t>
  </si>
  <si>
    <t xml:space="preserve">Diet D (Schizochytrium) </t>
  </si>
  <si>
    <t>Explanation</t>
  </si>
  <si>
    <t>Crucible #</t>
  </si>
  <si>
    <t>Crucible #</t>
  </si>
  <si>
    <t>Crucible ID</t>
  </si>
  <si>
    <t>Schizochytrium</t>
  </si>
  <si>
    <t>CV (%)</t>
  </si>
  <si>
    <t>CV (%)</t>
  </si>
  <si>
    <t>Mean %DryMatter</t>
  </si>
  <si>
    <t>Mean %DryMatter</t>
  </si>
  <si>
    <t>SD</t>
  </si>
  <si>
    <t>SD</t>
  </si>
  <si>
    <t>Mean of % dry matter for the three replicates</t>
  </si>
  <si>
    <t>Schizochytrium</t>
  </si>
  <si>
    <t>Initial</t>
  </si>
  <si>
    <t>B</t>
  </si>
  <si>
    <t>1-12 (fish from tanks after experiment) or Initial (fish from before experiment)</t>
  </si>
  <si>
    <t>Volume of acid-digested solution (mL)</t>
  </si>
  <si>
    <t>Feed ADC of P</t>
  </si>
  <si>
    <t>Digestible P (g/kg)</t>
  </si>
  <si>
    <t>Ingredient</t>
  </si>
  <si>
    <t>Ingredient ADC of P</t>
  </si>
  <si>
    <t>SE</t>
  </si>
  <si>
    <t>Mean</t>
  </si>
  <si>
    <t>Spirulina SE</t>
  </si>
  <si>
    <t>Diet B (Spirulina) SE</t>
  </si>
  <si>
    <t>Chlorella SE</t>
  </si>
  <si>
    <t>% Moisture</t>
  </si>
  <si>
    <t>% Ash</t>
  </si>
  <si>
    <t>% AIA</t>
  </si>
  <si>
    <t>Mean 
%DryMatter</t>
  </si>
  <si>
    <t>Digestion
Volume</t>
  </si>
  <si>
    <t>D</t>
  </si>
  <si>
    <t>C</t>
  </si>
  <si>
    <t>6 (F-5)</t>
  </si>
  <si>
    <t>Mean of % ash for the three replicates</t>
  </si>
  <si>
    <t>Weight of wet sample only (wet sample with cup - empty cup) (g)</t>
  </si>
  <si>
    <t>Weight of dry sample only (dry sample with cup - empty cup) (g)</t>
  </si>
  <si>
    <t>Weight of Acid-Insoluble-Ash only (AIA with cup - empty cup) (g)</t>
  </si>
  <si>
    <t>Weight of ashed sample only (ash with cup - empty cup) (g)</t>
  </si>
  <si>
    <t>B</t>
  </si>
  <si>
    <t>C</t>
  </si>
  <si>
    <t>D</t>
  </si>
  <si>
    <t>Empty Cup (g)</t>
  </si>
  <si>
    <t>C</t>
  </si>
  <si>
    <t>C</t>
  </si>
  <si>
    <t>C</t>
  </si>
  <si>
    <t>B</t>
  </si>
  <si>
    <t>B</t>
  </si>
  <si>
    <t>B</t>
  </si>
  <si>
    <t>Dry Sample with Cup (g)</t>
  </si>
  <si>
    <t>Dry Sample (g)</t>
  </si>
  <si>
    <t xml:space="preserve"> Feed
ADC</t>
  </si>
  <si>
    <t>mg P/L H20</t>
  </si>
  <si>
    <t>Dry Sample 
with Cup (g)</t>
  </si>
  <si>
    <t>Mean % DryMatter</t>
  </si>
  <si>
    <t>Mean
%AIA</t>
  </si>
  <si>
    <t>n/a (1 value)</t>
  </si>
  <si>
    <t>%CV for ADC</t>
  </si>
  <si>
    <t>%P Excluding Outliers</t>
  </si>
  <si>
    <t>SD excluding outliers</t>
  </si>
  <si>
    <t>n/a (one value)</t>
  </si>
  <si>
    <t>Tank</t>
  </si>
  <si>
    <t xml:space="preserve">Diet A (fishmeal) </t>
  </si>
  <si>
    <t xml:space="preserve">Diet B (Spirulina) </t>
  </si>
  <si>
    <t xml:space="preserve">Diet B (Spirulina) </t>
  </si>
  <si>
    <t>27(E-49)</t>
  </si>
  <si>
    <t>NO MARK(F-5)</t>
  </si>
  <si>
    <t>A (reference), B (spirulina), C (chlorella), D (schizochytrium), spigot (for water samples)</t>
  </si>
  <si>
    <t>% Phosphorus</t>
  </si>
  <si>
    <t>Feed</t>
  </si>
  <si>
    <t>Fish meal, Spirulina, Chlorella, Schizochytrium</t>
  </si>
  <si>
    <t>Ingredient</t>
  </si>
  <si>
    <t>Fish Meal</t>
  </si>
  <si>
    <t>Spirulina</t>
  </si>
  <si>
    <t>Chlorella</t>
  </si>
  <si>
    <t>Spirulina Mean</t>
  </si>
  <si>
    <t>Spirulina SE</t>
  </si>
  <si>
    <t>Fishmeal Mean</t>
  </si>
  <si>
    <t>Fishmeal SE</t>
  </si>
  <si>
    <t>Chlorella Mean</t>
  </si>
  <si>
    <t>Tank</t>
  </si>
  <si>
    <t>Weight of ash expressed as a percentage of dry sample weight: (ash/dry sample)*100</t>
  </si>
  <si>
    <t>Wet Sample (g)</t>
  </si>
  <si>
    <t>Dry Sample with Cup (g)</t>
  </si>
  <si>
    <t>Diet</t>
  </si>
  <si>
    <t>AIA with cup (g)</t>
  </si>
  <si>
    <t>AIA (g)</t>
  </si>
  <si>
    <t>% Phosphorus</t>
  </si>
  <si>
    <t>% Dry Matter</t>
  </si>
  <si>
    <t>Ash with Cup (g)</t>
  </si>
  <si>
    <t>Ash (g)</t>
  </si>
  <si>
    <t>SD</t>
  </si>
  <si>
    <t>Mean %Ash</t>
  </si>
  <si>
    <t>Mean %AIA</t>
  </si>
  <si>
    <t>SD</t>
  </si>
  <si>
    <t>CV(%) AIA</t>
  </si>
  <si>
    <t>CV(%) Ash</t>
  </si>
  <si>
    <t>CV(%)
DryMatter</t>
  </si>
  <si>
    <t>A</t>
  </si>
  <si>
    <t>A</t>
  </si>
  <si>
    <t>A</t>
  </si>
  <si>
    <t>C</t>
  </si>
  <si>
    <t>D</t>
  </si>
  <si>
    <t>Diet D (Schizochytrium) Mean</t>
  </si>
  <si>
    <t>Diet D (Schizochytrium) SE</t>
  </si>
  <si>
    <t>Diet B (Spirulina) Mean</t>
  </si>
  <si>
    <t>Coefficient of Variation for Mean ((SD/mean)*100)</t>
  </si>
  <si>
    <t>Standard Deviation of Mean</t>
  </si>
  <si>
    <t>Standard Deviation of Mean</t>
  </si>
  <si>
    <t>Type</t>
  </si>
  <si>
    <t>Label</t>
  </si>
  <si>
    <t>Sample #</t>
  </si>
  <si>
    <t>Number of sample</t>
  </si>
  <si>
    <t>Diet</t>
  </si>
  <si>
    <t>Diet C (Chlorella) Mean</t>
  </si>
  <si>
    <t>Mean of % dry matter for the three replicates</t>
  </si>
  <si>
    <t>AIA (g)</t>
  </si>
  <si>
    <t>Digestion Volume</t>
  </si>
  <si>
    <t>AIA with cup (g)</t>
  </si>
  <si>
    <t>% Moisture</t>
  </si>
  <si>
    <t>% Dry Matter</t>
  </si>
  <si>
    <t>% Ash</t>
  </si>
  <si>
    <t>% AIA</t>
  </si>
  <si>
    <t>mg P/L H20</t>
  </si>
  <si>
    <t>7(D-17)</t>
  </si>
  <si>
    <t>32(D-17)</t>
  </si>
  <si>
    <t>NO MARK(0)</t>
  </si>
  <si>
    <t>NO MARK(E-49)</t>
  </si>
  <si>
    <t>1(0)</t>
  </si>
  <si>
    <t>19(1')</t>
  </si>
  <si>
    <t>34(F-47</t>
  </si>
  <si>
    <t>25(0)</t>
  </si>
  <si>
    <t>Wet Sample (g)</t>
  </si>
  <si>
    <t>Chlorella</t>
  </si>
  <si>
    <t>Water (for soluble phosphorus), Feed, Feces, IngredientMA (microalgae), IngredientFM (fishmeal), WBF (whole body fish)</t>
  </si>
  <si>
    <t>A</t>
  </si>
  <si>
    <t>1-12</t>
  </si>
  <si>
    <t>Diet C (Chlorella) SE</t>
  </si>
  <si>
    <t>**don't report fishmeal ingredient ADC or digested P</t>
  </si>
  <si>
    <t>mg P/L H20</t>
  </si>
  <si>
    <t>Diet</t>
  </si>
  <si>
    <t>Tank</t>
  </si>
  <si>
    <t>Tank</t>
  </si>
  <si>
    <t># Fish</t>
  </si>
  <si>
    <t>Initial fish phosphorus (g)</t>
  </si>
  <si>
    <t>Final fish phosphorus (g)</t>
  </si>
  <si>
    <t xml:space="preserve">intake phosphorus (g/kg) </t>
  </si>
  <si>
    <t>Rejected phosphorus (g/kg)</t>
  </si>
  <si>
    <t>Dissolved phosphorus (g/kg)</t>
  </si>
  <si>
    <t>Solid phosphorus (g/kg)</t>
  </si>
  <si>
    <t>P retention (%)</t>
  </si>
  <si>
    <t>A</t>
  </si>
  <si>
    <t>C</t>
  </si>
  <si>
    <t>C</t>
  </si>
  <si>
    <t>A</t>
  </si>
  <si>
    <t>D</t>
  </si>
  <si>
    <t>FEED</t>
  </si>
  <si>
    <t>FECES</t>
  </si>
  <si>
    <t>Dry Sample (g)</t>
  </si>
  <si>
    <t>Label</t>
  </si>
  <si>
    <t>WBF</t>
  </si>
  <si>
    <t>D</t>
  </si>
  <si>
    <t>Mean %Ash</t>
  </si>
  <si>
    <t>Mean %Ash</t>
  </si>
  <si>
    <t>Digestion Volume</t>
  </si>
  <si>
    <t>SE (%P)</t>
  </si>
  <si>
    <t>g P/kg Diet</t>
  </si>
  <si>
    <t>Coefficient of Variation for Mean ((SD/mean)*100)</t>
  </si>
  <si>
    <t>g P/kg Ingredient</t>
  </si>
  <si>
    <t>SE (%P)</t>
  </si>
  <si>
    <t>Diet B (Spirulina) SE</t>
  </si>
  <si>
    <t>Diet A (fishmeal) Mean</t>
  </si>
  <si>
    <t>Diet A (fishmeal) SE</t>
  </si>
  <si>
    <t>Weight of dry sample expressed as a percentage of wet sample weight: (dry sample/wet sample)*100</t>
  </si>
  <si>
    <t>Diet ADC of P (coefficient)</t>
  </si>
  <si>
    <t xml:space="preserve">retained phosphorus (g/fish) </t>
  </si>
  <si>
    <t xml:space="preserve">retained P (g/kg) </t>
  </si>
  <si>
    <t>Intake phosphorus (g/fish)</t>
  </si>
  <si>
    <t>WBF Dry Matter (%)</t>
  </si>
  <si>
    <t>Initial</t>
  </si>
  <si>
    <t>WBF Phosphorus (%DM)</t>
  </si>
  <si>
    <t>Feed Phosphorus (%DM)</t>
  </si>
  <si>
    <t>Mean
 % Dry Matter</t>
  </si>
  <si>
    <t>Mean
% Ash</t>
  </si>
  <si>
    <t>Feed/Fish (g)</t>
  </si>
  <si>
    <t>Feed/Fish dry weight (g)</t>
  </si>
  <si>
    <t>Feed DM (%)</t>
  </si>
  <si>
    <t>Diet ADC of P (%)</t>
  </si>
  <si>
    <t>Weight of empty cup (g)</t>
  </si>
  <si>
    <t>Weight of dry sample and cup (g)</t>
  </si>
  <si>
    <t>Mean of % ash for the three replicates</t>
  </si>
  <si>
    <t xml:space="preserve">% AIA Feces </t>
  </si>
  <si>
    <t>Ingredients</t>
  </si>
  <si>
    <t>3(F-5)NO MARK</t>
  </si>
  <si>
    <t>A (Fishmeal)</t>
  </si>
  <si>
    <t>B (Spirulina)</t>
  </si>
  <si>
    <t xml:space="preserve">C (Chlorella) </t>
  </si>
  <si>
    <t xml:space="preserve">D (Schizochytrium) </t>
  </si>
  <si>
    <t>average feed 
subtracted per 
week</t>
  </si>
  <si>
    <t>Estimated Total Feed Given 2/1-3/3</t>
  </si>
  <si>
    <t>Total Feed
Consumed 3/4-4/3</t>
  </si>
  <si>
    <t>Estimated Total Feed Consumed 2/1-3/3</t>
  </si>
  <si>
    <t>Total P load 
(g/kg)</t>
  </si>
  <si>
    <t>Final mean weight/fish (g)</t>
  </si>
  <si>
    <t>Initial mean weight/fish (g)</t>
  </si>
  <si>
    <t xml:space="preserve">Initial dry weight/fish (g) </t>
  </si>
  <si>
    <t>Final dry weight/fish (g)</t>
  </si>
  <si>
    <t>Total Feed (g)</t>
  </si>
  <si>
    <t>B</t>
  </si>
  <si>
    <t>Chlorella SE</t>
  </si>
  <si>
    <t>Schizochytrium Mean</t>
  </si>
  <si>
    <t>Schizochytrium SE</t>
  </si>
  <si>
    <t>A</t>
  </si>
  <si>
    <t>B</t>
  </si>
  <si>
    <t>C</t>
  </si>
  <si>
    <t>D</t>
  </si>
  <si>
    <t>B</t>
  </si>
  <si>
    <t>C</t>
  </si>
  <si>
    <t>D</t>
  </si>
  <si>
    <t>Feces</t>
  </si>
  <si>
    <t>Tank #</t>
  </si>
  <si>
    <t>WHOLE BODY FISH</t>
  </si>
  <si>
    <t>Mean g/kg P</t>
  </si>
  <si>
    <t>Mean g/kg P in Feed</t>
  </si>
  <si>
    <t>Mean g/kg AIA Feed</t>
  </si>
  <si>
    <t>Mean g/kg P in Ingredient</t>
  </si>
  <si>
    <t>SE (g/kg P)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</si>
</sst>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color indexed="10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48"/>
      <name val="Verdana"/>
      <family val="2"/>
    </font>
    <font>
      <b/>
      <sz val="10"/>
      <color indexed="48"/>
      <name val="Verdana"/>
      <family val="2"/>
    </font>
    <font>
      <sz val="10"/>
      <color indexed="21"/>
      <name val="Verdana"/>
      <family val="2"/>
    </font>
    <font>
      <b/>
      <sz val="10"/>
      <color indexed="21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3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05"/>
          <c:w val="0.939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Digestibility!$C$24</c:f>
              <c:strCache>
                <c:ptCount val="1"/>
                <c:pt idx="0">
                  <c:v>Feed ADC of P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Digestibility!$C$32:$C$35</c:f>
                <c:numCache>
                  <c:ptCount val="4"/>
                  <c:pt idx="0">
                    <c:v>1.7038075060482554</c:v>
                  </c:pt>
                  <c:pt idx="1">
                    <c:v>1.3774614841981838</c:v>
                  </c:pt>
                  <c:pt idx="2">
                    <c:v>2.3881367964520814</c:v>
                  </c:pt>
                  <c:pt idx="3">
                    <c:v>0.746301065106116</c:v>
                  </c:pt>
                </c:numCache>
              </c:numRef>
            </c:plus>
            <c:minus>
              <c:numRef>
                <c:f>Digestibility!$C$32:$C$35</c:f>
                <c:numCache>
                  <c:ptCount val="4"/>
                  <c:pt idx="0">
                    <c:v>1.7038075060482554</c:v>
                  </c:pt>
                  <c:pt idx="1">
                    <c:v>1.3774614841981838</c:v>
                  </c:pt>
                  <c:pt idx="2">
                    <c:v>2.3881367964520814</c:v>
                  </c:pt>
                  <c:pt idx="3">
                    <c:v>0.746301065106116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Digestibility!$A$25:$A$28</c:f>
              <c:strCache/>
            </c:strRef>
          </c:cat>
          <c:val>
            <c:numRef>
              <c:f>Digestibility!$C$25:$C$28</c:f>
              <c:numCache/>
            </c:numRef>
          </c:val>
        </c:ser>
        <c:axId val="57581592"/>
        <c:axId val="48472281"/>
      </c:barChart>
      <c:catAx>
        <c:axId val="57581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Diet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ADC of P (%)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81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5"/>
          <c:w val="0.914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Budget'!$G$17</c:f>
              <c:strCache>
                <c:ptCount val="1"/>
                <c:pt idx="0">
                  <c:v>Mean P Retention (%)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'Phosphorus Budget'!$K$18:$K$21</c:f>
                <c:numCache>
                  <c:ptCount val="4"/>
                  <c:pt idx="0">
                    <c:v>7.7633604796</c:v>
                  </c:pt>
                  <c:pt idx="1">
                    <c:v>4.0494683283</c:v>
                  </c:pt>
                  <c:pt idx="2">
                    <c:v>9.4939740749</c:v>
                  </c:pt>
                  <c:pt idx="3">
                    <c:v>10.639291081</c:v>
                  </c:pt>
                </c:numCache>
              </c:numRef>
            </c:plus>
            <c:minus>
              <c:numRef>
                <c:f>'Phosphorus Budget'!$K$18:$K$21</c:f>
                <c:numCache>
                  <c:ptCount val="4"/>
                  <c:pt idx="0">
                    <c:v>7.7633604796</c:v>
                  </c:pt>
                  <c:pt idx="1">
                    <c:v>4.0494683283</c:v>
                  </c:pt>
                  <c:pt idx="2">
                    <c:v>9.4939740749</c:v>
                  </c:pt>
                  <c:pt idx="3">
                    <c:v>10.639291081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'Phosphorus Budget'!$C$18:$C$21</c:f>
              <c:strCache/>
            </c:strRef>
          </c:cat>
          <c:val>
            <c:numRef>
              <c:f>'Phosphorus Budget'!$G$18:$G$21</c:f>
              <c:numCache/>
            </c:numRef>
          </c:val>
        </c:ser>
        <c:axId val="2980978"/>
        <c:axId val="26828803"/>
      </c:barChart>
      <c:catAx>
        <c:axId val="298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Diet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 val="autoZero"/>
        <c:auto val="1"/>
        <c:lblOffset val="100"/>
        <c:tickLblSkip val="2"/>
        <c:noMultiLvlLbl val="0"/>
      </c:catAx>
      <c:valAx>
        <c:axId val="26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Mean P Retention (%)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-0.005"/>
          <c:w val="0.936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Digestibility!$D$24</c:f>
              <c:strCache>
                <c:ptCount val="1"/>
                <c:pt idx="0">
                  <c:v>Digestible P (g/kg)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Digestibility!$D$32:$D$35</c:f>
                <c:numCache>
                  <c:ptCount val="4"/>
                  <c:pt idx="0">
                    <c:v>0.144882290089522</c:v>
                  </c:pt>
                  <c:pt idx="1">
                    <c:v>0.083067159363033</c:v>
                  </c:pt>
                  <c:pt idx="2">
                    <c:v>0.166744796423298</c:v>
                  </c:pt>
                  <c:pt idx="3">
                    <c:v>0.0559056345834625</c:v>
                  </c:pt>
                </c:numCache>
              </c:numRef>
            </c:plus>
            <c:minus>
              <c:numRef>
                <c:f>Digestibility!$D$32:$D$35</c:f>
                <c:numCache>
                  <c:ptCount val="4"/>
                  <c:pt idx="0">
                    <c:v>0.144882290089522</c:v>
                  </c:pt>
                  <c:pt idx="1">
                    <c:v>0.083067159363033</c:v>
                  </c:pt>
                  <c:pt idx="2">
                    <c:v>0.166744796423298</c:v>
                  </c:pt>
                  <c:pt idx="3">
                    <c:v>0.0559056345834625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Digestibility!$A$25:$A$28</c:f>
              <c:strCache/>
            </c:strRef>
          </c:cat>
          <c:val>
            <c:numRef>
              <c:f>Digestibility!$D$25:$D$28</c:f>
              <c:numCache/>
            </c:numRef>
          </c:val>
        </c:ser>
        <c:axId val="33597346"/>
        <c:axId val="33940659"/>
      </c:barChart>
      <c:catAx>
        <c:axId val="3359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Diet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Digestible P (g/kg) 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-0.005"/>
          <c:w val="0.941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Digestibility!$I$24</c:f>
              <c:strCache>
                <c:ptCount val="1"/>
                <c:pt idx="0">
                  <c:v>Ingredient ADC of P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Digestibility!$I$32:$I$34</c:f>
                <c:numCache>
                  <c:ptCount val="3"/>
                  <c:pt idx="0">
                    <c:v>7.106724224306878</c:v>
                  </c:pt>
                  <c:pt idx="1">
                    <c:v>10.533296140119429</c:v>
                  </c:pt>
                  <c:pt idx="2">
                    <c:v>3.620380986532453</c:v>
                  </c:pt>
                </c:numCache>
              </c:numRef>
            </c:plus>
            <c:minus>
              <c:numRef>
                <c:f>Digestibility!$I$32:$I$34</c:f>
                <c:numCache>
                  <c:ptCount val="3"/>
                  <c:pt idx="0">
                    <c:v>7.106724224306878</c:v>
                  </c:pt>
                  <c:pt idx="1">
                    <c:v>10.533296140119429</c:v>
                  </c:pt>
                  <c:pt idx="2">
                    <c:v>3.620380986532453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Digestibility!$G$25:$G$27</c:f>
              <c:strCache/>
            </c:strRef>
          </c:cat>
          <c:val>
            <c:numRef>
              <c:f>Digestibility!$I$25:$I$27</c:f>
              <c:numCache/>
            </c:numRef>
          </c:val>
        </c:ser>
        <c:axId val="37030476"/>
        <c:axId val="64838829"/>
      </c:barChart>
      <c:cat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Ingredient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Ingredient ADC of P 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-0.005"/>
          <c:w val="0.93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Digestibility!$J$24</c:f>
              <c:strCache>
                <c:ptCount val="1"/>
                <c:pt idx="0">
                  <c:v>Digestible P (g/kg)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Digestibility!$J$32:$J$34</c:f>
                <c:numCache>
                  <c:ptCount val="3"/>
                  <c:pt idx="0">
                    <c:v>0.339017212167977</c:v>
                  </c:pt>
                  <c:pt idx="1">
                    <c:v>0.612767142937199</c:v>
                  </c:pt>
                  <c:pt idx="2">
                    <c:v>0.186526721265529</c:v>
                  </c:pt>
                </c:numCache>
              </c:numRef>
            </c:plus>
            <c:minus>
              <c:numRef>
                <c:f>Digestibility!$J$32:$J$34</c:f>
                <c:numCache>
                  <c:ptCount val="3"/>
                  <c:pt idx="0">
                    <c:v>0.339017212167977</c:v>
                  </c:pt>
                  <c:pt idx="1">
                    <c:v>0.612767142937199</c:v>
                  </c:pt>
                  <c:pt idx="2">
                    <c:v>0.186526721265529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Digestibility!$G$25:$G$27</c:f>
              <c:strCache/>
            </c:strRef>
          </c:cat>
          <c:val>
            <c:numRef>
              <c:f>Digestibility!$J$25:$J$27</c:f>
              <c:numCache/>
            </c:numRef>
          </c:val>
        </c:ser>
        <c:axId val="46678550"/>
        <c:axId val="17453767"/>
      </c:barChart>
      <c:catAx>
        <c:axId val="4667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Ingredient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Digestible P (g/kg) 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8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05"/>
          <c:w val="0.939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Digestibility!$B$24</c:f>
              <c:strCache>
                <c:ptCount val="1"/>
                <c:pt idx="0">
                  <c:v>g P/kg Diet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Digestibility!$B$32:$B$35</c:f>
                <c:numCache>
                  <c:ptCount val="4"/>
                  <c:pt idx="0">
                    <c:v>0.45250116660119755</c:v>
                  </c:pt>
                  <c:pt idx="1">
                    <c:v>0.7021297114531337</c:v>
                  </c:pt>
                  <c:pt idx="2">
                    <c:v>0.1278216451582206</c:v>
                  </c:pt>
                  <c:pt idx="3">
                    <c:v>0.5006321649301051</c:v>
                  </c:pt>
                </c:numCache>
              </c:numRef>
            </c:plus>
            <c:minus>
              <c:numRef>
                <c:f>Digestibility!$B$32:$B$35</c:f>
                <c:numCache>
                  <c:ptCount val="4"/>
                  <c:pt idx="0">
                    <c:v>0.45250116660119755</c:v>
                  </c:pt>
                  <c:pt idx="1">
                    <c:v>0.7021297114531337</c:v>
                  </c:pt>
                  <c:pt idx="2">
                    <c:v>0.1278216451582206</c:v>
                  </c:pt>
                  <c:pt idx="3">
                    <c:v>0.5006321649301051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Digestibility!$A$25:$A$28</c:f>
              <c:strCache/>
            </c:strRef>
          </c:cat>
          <c:val>
            <c:numRef>
              <c:f>Digestibility!$B$25:$B$28</c:f>
              <c:numCache/>
            </c:numRef>
          </c:val>
        </c:ser>
        <c:axId val="22866176"/>
        <c:axId val="4468993"/>
      </c:barChart>
      <c:catAx>
        <c:axId val="2286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Diet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g P/kg Diet 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-0.005"/>
          <c:w val="0.938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Digestibility!$H$24</c:f>
              <c:strCache>
                <c:ptCount val="1"/>
                <c:pt idx="0">
                  <c:v>g P/kg Ingredient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Digestibility!$H$32:$H$34</c:f>
                <c:numCache>
                  <c:ptCount val="3"/>
                  <c:pt idx="0">
                    <c:v>0.4134210360534149</c:v>
                  </c:pt>
                  <c:pt idx="1">
                    <c:v>0.030407757671955644</c:v>
                  </c:pt>
                  <c:pt idx="2">
                    <c:v>0.45331876701294654</c:v>
                  </c:pt>
                </c:numCache>
              </c:numRef>
            </c:plus>
            <c:minus>
              <c:numRef>
                <c:f>Digestibility!$H$32:$H$34</c:f>
                <c:numCache>
                  <c:ptCount val="3"/>
                  <c:pt idx="0">
                    <c:v>0.4134210360534149</c:v>
                  </c:pt>
                  <c:pt idx="1">
                    <c:v>0.030407757671955644</c:v>
                  </c:pt>
                  <c:pt idx="2">
                    <c:v>0.45331876701294654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Digestibility!$G$25:$G$27</c:f>
              <c:strCache/>
            </c:strRef>
          </c:cat>
          <c:val>
            <c:numRef>
              <c:f>Digestibility!$H$25:$H$27</c:f>
              <c:numCache/>
            </c:numRef>
          </c:val>
        </c:ser>
        <c:axId val="40220938"/>
        <c:axId val="26444123"/>
      </c:bar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Ingredient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 P/kg Ingredient 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0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-0.005"/>
          <c:w val="0.927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Budget'!$D$17</c:f>
              <c:strCache>
                <c:ptCount val="1"/>
                <c:pt idx="0">
                  <c:v>Mean Dissolved P (g/kg)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'Phosphorus Budget'!$H$18:$H$21</c:f>
                <c:numCache>
                  <c:ptCount val="4"/>
                  <c:pt idx="0">
                    <c:v>3.1891650136</c:v>
                  </c:pt>
                  <c:pt idx="1">
                    <c:v>1.2878063367</c:v>
                  </c:pt>
                  <c:pt idx="2">
                    <c:v>3.4056430555</c:v>
                  </c:pt>
                  <c:pt idx="3">
                    <c:v>4.1783418313</c:v>
                  </c:pt>
                </c:numCache>
              </c:numRef>
            </c:plus>
            <c:minus>
              <c:numRef>
                <c:f>'Phosphorus Budget'!$H$18:$H$21</c:f>
                <c:numCache>
                  <c:ptCount val="4"/>
                  <c:pt idx="0">
                    <c:v>3.1891650136</c:v>
                  </c:pt>
                  <c:pt idx="1">
                    <c:v>1.2878063367</c:v>
                  </c:pt>
                  <c:pt idx="2">
                    <c:v>3.4056430555</c:v>
                  </c:pt>
                  <c:pt idx="3">
                    <c:v>4.1783418313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'Phosphorus Budget'!$C$18:$C$21</c:f>
              <c:strCache/>
            </c:strRef>
          </c:cat>
          <c:val>
            <c:numRef>
              <c:f>'Phosphorus Budget'!$D$18:$D$21</c:f>
              <c:numCache/>
            </c:numRef>
          </c:val>
        </c:ser>
        <c:axId val="36670516"/>
        <c:axId val="61599189"/>
      </c:barChart>
      <c:catAx>
        <c:axId val="3667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Diet</a:t>
                </a:r>
              </a:p>
            </c:rich>
          </c:tx>
          <c:layout>
            <c:manualLayout>
              <c:xMode val="factor"/>
              <c:yMode val="factor"/>
              <c:x val="0.02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Mean Dissolved P (g/kg) 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0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-0.005"/>
          <c:w val="0.910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Budget'!$E$17</c:f>
              <c:strCache>
                <c:ptCount val="1"/>
                <c:pt idx="0">
                  <c:v>Mean Solid P (g/kg)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'Phosphorus Budget'!$I$18:$I$21</c:f>
                <c:numCache>
                  <c:ptCount val="4"/>
                  <c:pt idx="0">
                    <c:v>1.4186543567</c:v>
                  </c:pt>
                  <c:pt idx="1">
                    <c:v>0.6976630881</c:v>
                  </c:pt>
                  <c:pt idx="2">
                    <c:v>1.5537547597</c:v>
                  </c:pt>
                  <c:pt idx="3">
                    <c:v>0.688852332</c:v>
                  </c:pt>
                </c:numCache>
              </c:numRef>
            </c:plus>
            <c:minus>
              <c:numRef>
                <c:f>'Phosphorus Budget'!$I$18:$I$21</c:f>
                <c:numCache>
                  <c:ptCount val="4"/>
                  <c:pt idx="0">
                    <c:v>1.4186543567</c:v>
                  </c:pt>
                  <c:pt idx="1">
                    <c:v>0.6976630881</c:v>
                  </c:pt>
                  <c:pt idx="2">
                    <c:v>1.5537547597</c:v>
                  </c:pt>
                  <c:pt idx="3">
                    <c:v>0.688852332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'Phosphorus Budget'!$C$18:$C$21</c:f>
              <c:strCache/>
            </c:strRef>
          </c:cat>
          <c:val>
            <c:numRef>
              <c:f>'Phosphorus Budget'!$E$18:$E$21</c:f>
              <c:numCache/>
            </c:numRef>
          </c:val>
        </c:ser>
        <c:axId val="17521790"/>
        <c:axId val="23478383"/>
      </c:barChart>
      <c:catAx>
        <c:axId val="1752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Diet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8383"/>
        <c:crosses val="autoZero"/>
        <c:auto val="1"/>
        <c:lblOffset val="100"/>
        <c:tickLblSkip val="2"/>
        <c:noMultiLvlLbl val="0"/>
      </c:catAx>
      <c:valAx>
        <c:axId val="2347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Mean Solid P (g/kg) 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1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-0.005"/>
          <c:w val="0.927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Budget'!$F$17</c:f>
              <c:strCache>
                <c:ptCount val="1"/>
                <c:pt idx="0">
                  <c:v>Mean Total P Load (g/kg)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'Phosphorus Budget'!$J$18:$J$21</c:f>
                <c:numCache>
                  <c:ptCount val="4"/>
                  <c:pt idx="0">
                    <c:v>3.1196512147</c:v>
                  </c:pt>
                  <c:pt idx="1">
                    <c:v>1.7199921235</c:v>
                  </c:pt>
                  <c:pt idx="2">
                    <c:v>2.7002042281</c:v>
                  </c:pt>
                  <c:pt idx="3">
                    <c:v>4.5079803901</c:v>
                  </c:pt>
                </c:numCache>
              </c:numRef>
            </c:plus>
            <c:minus>
              <c:numRef>
                <c:f>'Phosphorus Budget'!$J$18:$J$21</c:f>
                <c:numCache>
                  <c:ptCount val="4"/>
                  <c:pt idx="0">
                    <c:v>3.1196512147</c:v>
                  </c:pt>
                  <c:pt idx="1">
                    <c:v>1.7199921235</c:v>
                  </c:pt>
                  <c:pt idx="2">
                    <c:v>2.7002042281</c:v>
                  </c:pt>
                  <c:pt idx="3">
                    <c:v>4.5079803901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'Phosphorus Budget'!$C$18:$C$21</c:f>
              <c:strCache/>
            </c:strRef>
          </c:cat>
          <c:val>
            <c:numRef>
              <c:f>'Phosphorus Budget'!$F$18:$F$21</c:f>
              <c:numCache/>
            </c:numRef>
          </c:val>
        </c:ser>
        <c:axId val="9978856"/>
        <c:axId val="22700841"/>
      </c:barChart>
      <c:catAx>
        <c:axId val="9978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Diet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Mean Total P Load (g/kg) 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8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56</xdr:row>
      <xdr:rowOff>28575</xdr:rowOff>
    </xdr:from>
    <xdr:to>
      <xdr:col>4</xdr:col>
      <xdr:colOff>123825</xdr:colOff>
      <xdr:row>72</xdr:row>
      <xdr:rowOff>123825</xdr:rowOff>
    </xdr:to>
    <xdr:graphicFrame>
      <xdr:nvGraphicFramePr>
        <xdr:cNvPr id="1" name="Chart 2"/>
        <xdr:cNvGraphicFramePr/>
      </xdr:nvGraphicFramePr>
      <xdr:xfrm>
        <a:off x="114300" y="9648825"/>
        <a:ext cx="56959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73</xdr:row>
      <xdr:rowOff>76200</xdr:rowOff>
    </xdr:from>
    <xdr:to>
      <xdr:col>4</xdr:col>
      <xdr:colOff>123825</xdr:colOff>
      <xdr:row>90</xdr:row>
      <xdr:rowOff>9525</xdr:rowOff>
    </xdr:to>
    <xdr:graphicFrame>
      <xdr:nvGraphicFramePr>
        <xdr:cNvPr id="2" name="Chart 3"/>
        <xdr:cNvGraphicFramePr/>
      </xdr:nvGraphicFramePr>
      <xdr:xfrm>
        <a:off x="114300" y="12449175"/>
        <a:ext cx="56959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56</xdr:row>
      <xdr:rowOff>38100</xdr:rowOff>
    </xdr:from>
    <xdr:to>
      <xdr:col>9</xdr:col>
      <xdr:colOff>266700</xdr:colOff>
      <xdr:row>72</xdr:row>
      <xdr:rowOff>133350</xdr:rowOff>
    </xdr:to>
    <xdr:graphicFrame>
      <xdr:nvGraphicFramePr>
        <xdr:cNvPr id="3" name="Chart 4"/>
        <xdr:cNvGraphicFramePr/>
      </xdr:nvGraphicFramePr>
      <xdr:xfrm>
        <a:off x="6115050" y="9658350"/>
        <a:ext cx="58483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73</xdr:row>
      <xdr:rowOff>47625</xdr:rowOff>
    </xdr:from>
    <xdr:to>
      <xdr:col>9</xdr:col>
      <xdr:colOff>238125</xdr:colOff>
      <xdr:row>89</xdr:row>
      <xdr:rowOff>152400</xdr:rowOff>
    </xdr:to>
    <xdr:graphicFrame>
      <xdr:nvGraphicFramePr>
        <xdr:cNvPr id="4" name="Chart 5"/>
        <xdr:cNvGraphicFramePr/>
      </xdr:nvGraphicFramePr>
      <xdr:xfrm>
        <a:off x="6096000" y="12420600"/>
        <a:ext cx="58388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37</xdr:row>
      <xdr:rowOff>47625</xdr:rowOff>
    </xdr:from>
    <xdr:to>
      <xdr:col>4</xdr:col>
      <xdr:colOff>123825</xdr:colOff>
      <xdr:row>53</xdr:row>
      <xdr:rowOff>133350</xdr:rowOff>
    </xdr:to>
    <xdr:graphicFrame>
      <xdr:nvGraphicFramePr>
        <xdr:cNvPr id="5" name="Chart 5"/>
        <xdr:cNvGraphicFramePr/>
      </xdr:nvGraphicFramePr>
      <xdr:xfrm>
        <a:off x="114300" y="6581775"/>
        <a:ext cx="56959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447675</xdr:colOff>
      <xdr:row>37</xdr:row>
      <xdr:rowOff>47625</xdr:rowOff>
    </xdr:from>
    <xdr:to>
      <xdr:col>9</xdr:col>
      <xdr:colOff>266700</xdr:colOff>
      <xdr:row>53</xdr:row>
      <xdr:rowOff>133350</xdr:rowOff>
    </xdr:to>
    <xdr:graphicFrame>
      <xdr:nvGraphicFramePr>
        <xdr:cNvPr id="6" name="Chart 7"/>
        <xdr:cNvGraphicFramePr/>
      </xdr:nvGraphicFramePr>
      <xdr:xfrm>
        <a:off x="6134100" y="6581775"/>
        <a:ext cx="582930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23</xdr:row>
      <xdr:rowOff>28575</xdr:rowOff>
    </xdr:from>
    <xdr:to>
      <xdr:col>7</xdr:col>
      <xdr:colOff>333375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009650" y="4295775"/>
        <a:ext cx="4857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752475</xdr:colOff>
      <xdr:row>22</xdr:row>
      <xdr:rowOff>152400</xdr:rowOff>
    </xdr:from>
    <xdr:to>
      <xdr:col>12</xdr:col>
      <xdr:colOff>609600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6286500" y="4257675"/>
        <a:ext cx="40195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219075</xdr:colOff>
      <xdr:row>40</xdr:row>
      <xdr:rowOff>133350</xdr:rowOff>
    </xdr:from>
    <xdr:to>
      <xdr:col>7</xdr:col>
      <xdr:colOff>342900</xdr:colOff>
      <xdr:row>57</xdr:row>
      <xdr:rowOff>76200</xdr:rowOff>
    </xdr:to>
    <xdr:graphicFrame>
      <xdr:nvGraphicFramePr>
        <xdr:cNvPr id="3" name="Chart 3"/>
        <xdr:cNvGraphicFramePr/>
      </xdr:nvGraphicFramePr>
      <xdr:xfrm>
        <a:off x="1028700" y="7153275"/>
        <a:ext cx="48482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800100</xdr:colOff>
      <xdr:row>40</xdr:row>
      <xdr:rowOff>123825</xdr:rowOff>
    </xdr:from>
    <xdr:to>
      <xdr:col>12</xdr:col>
      <xdr:colOff>657225</xdr:colOff>
      <xdr:row>57</xdr:row>
      <xdr:rowOff>66675</xdr:rowOff>
    </xdr:to>
    <xdr:graphicFrame>
      <xdr:nvGraphicFramePr>
        <xdr:cNvPr id="4" name="Chart 4"/>
        <xdr:cNvGraphicFramePr/>
      </xdr:nvGraphicFramePr>
      <xdr:xfrm>
        <a:off x="6334125" y="7143750"/>
        <a:ext cx="40195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48">
      <selection activeCell="B14" sqref="B14"/>
    </sheetView>
  </sheetViews>
  <sheetFormatPr defaultColWidth="10.625" defaultRowHeight="12.75"/>
  <cols>
    <col min="1" max="1" width="19.375" style="1" bestFit="1" customWidth="1"/>
    <col min="2" max="2" width="91.50390625" style="1" bestFit="1" customWidth="1"/>
    <col min="3" max="16384" width="10.625" style="1" customWidth="1"/>
  </cols>
  <sheetData>
    <row r="1" ht="12.75">
      <c r="A1" s="42" t="s">
        <v>76</v>
      </c>
    </row>
    <row r="3" ht="12.75">
      <c r="A3" s="2" t="s">
        <v>282</v>
      </c>
    </row>
    <row r="4" spans="1:2" s="2" customFormat="1" ht="12.75">
      <c r="A4" s="2" t="s">
        <v>236</v>
      </c>
      <c r="B4" s="2" t="s">
        <v>126</v>
      </c>
    </row>
    <row r="5" spans="1:2" ht="12.75">
      <c r="A5" s="1" t="s">
        <v>237</v>
      </c>
      <c r="B5" s="1" t="s">
        <v>238</v>
      </c>
    </row>
    <row r="6" spans="1:2" ht="12.75">
      <c r="A6" s="1" t="s">
        <v>235</v>
      </c>
      <c r="B6" s="1" t="s">
        <v>260</v>
      </c>
    </row>
    <row r="7" spans="1:2" ht="12.75">
      <c r="A7" s="1" t="s">
        <v>239</v>
      </c>
      <c r="B7" s="1" t="s">
        <v>193</v>
      </c>
    </row>
    <row r="8" spans="1:2" ht="12.75">
      <c r="A8" s="1" t="s">
        <v>128</v>
      </c>
      <c r="B8" s="1" t="s">
        <v>21</v>
      </c>
    </row>
    <row r="9" spans="1:3" ht="12.75">
      <c r="A9" t="s">
        <v>168</v>
      </c>
      <c r="B9" s="1" t="s">
        <v>314</v>
      </c>
      <c r="C9"/>
    </row>
    <row r="10" spans="1:2" ht="12.75">
      <c r="A10" t="s">
        <v>258</v>
      </c>
      <c r="B10" s="1" t="s">
        <v>161</v>
      </c>
    </row>
    <row r="11" spans="1:2" ht="12.75">
      <c r="A11" t="s">
        <v>175</v>
      </c>
      <c r="B11" s="1" t="s">
        <v>315</v>
      </c>
    </row>
    <row r="12" spans="1:2" ht="12.75">
      <c r="A12" t="s">
        <v>176</v>
      </c>
      <c r="B12" s="1" t="s">
        <v>162</v>
      </c>
    </row>
    <row r="13" spans="1:2" ht="12.75">
      <c r="A13" t="s">
        <v>105</v>
      </c>
      <c r="B13" s="1" t="s">
        <v>90</v>
      </c>
    </row>
    <row r="14" spans="1:2" ht="12.75">
      <c r="A14" t="s">
        <v>106</v>
      </c>
      <c r="B14" s="1" t="s">
        <v>164</v>
      </c>
    </row>
    <row r="15" spans="1:2" ht="12.75">
      <c r="A15" t="s">
        <v>243</v>
      </c>
      <c r="B15" s="1" t="s">
        <v>142</v>
      </c>
    </row>
    <row r="16" spans="1:2" ht="12.75">
      <c r="A16" t="s">
        <v>244</v>
      </c>
      <c r="B16" s="1" t="s">
        <v>73</v>
      </c>
    </row>
    <row r="17" spans="1:2" ht="12.75">
      <c r="A17" t="s">
        <v>242</v>
      </c>
      <c r="B17" s="1" t="s">
        <v>163</v>
      </c>
    </row>
    <row r="18" spans="1:2" ht="12.75">
      <c r="A18" t="s">
        <v>194</v>
      </c>
      <c r="B18" s="1" t="s">
        <v>0</v>
      </c>
    </row>
    <row r="19" spans="1:2" ht="12.75">
      <c r="A19" t="s">
        <v>246</v>
      </c>
      <c r="B19" s="1" t="s">
        <v>299</v>
      </c>
    </row>
    <row r="20" spans="1:2" ht="12.75">
      <c r="A20" t="s">
        <v>245</v>
      </c>
      <c r="B20" s="1" t="s">
        <v>99</v>
      </c>
    </row>
    <row r="21" spans="1:2" ht="12.75">
      <c r="A21" t="s">
        <v>247</v>
      </c>
      <c r="B21" s="1" t="s">
        <v>207</v>
      </c>
    </row>
    <row r="22" spans="1:2" ht="12.75">
      <c r="A22" t="s">
        <v>248</v>
      </c>
      <c r="B22" s="1" t="s">
        <v>58</v>
      </c>
    </row>
    <row r="23" spans="1:3" ht="12.75">
      <c r="A23" t="s">
        <v>133</v>
      </c>
      <c r="B23" s="63" t="s">
        <v>66</v>
      </c>
      <c r="C23" s="63"/>
    </row>
    <row r="24" spans="1:3" ht="12.75">
      <c r="A24" t="s">
        <v>288</v>
      </c>
      <c r="B24" s="63" t="s">
        <v>316</v>
      </c>
      <c r="C24" s="63"/>
    </row>
    <row r="25" spans="1:3" ht="12.75">
      <c r="A25" t="s">
        <v>135</v>
      </c>
      <c r="B25" s="63" t="s">
        <v>233</v>
      </c>
      <c r="C25" s="63"/>
    </row>
    <row r="26" spans="1:3" ht="12.75">
      <c r="A26" t="s">
        <v>131</v>
      </c>
      <c r="B26" s="63" t="s">
        <v>232</v>
      </c>
      <c r="C26" s="63"/>
    </row>
    <row r="27" ht="12.75">
      <c r="A27"/>
    </row>
    <row r="28" ht="12.75">
      <c r="A28" s="2" t="s">
        <v>103</v>
      </c>
    </row>
    <row r="29" spans="1:2" ht="12.75">
      <c r="A29" s="2" t="s">
        <v>285</v>
      </c>
      <c r="B29" s="2" t="s">
        <v>126</v>
      </c>
    </row>
    <row r="30" spans="1:2" ht="12.75">
      <c r="A30" s="1" t="s">
        <v>237</v>
      </c>
      <c r="B30" s="1" t="s">
        <v>238</v>
      </c>
    </row>
    <row r="31" spans="1:2" ht="12.75">
      <c r="A31" s="1" t="s">
        <v>235</v>
      </c>
      <c r="B31" s="1" t="s">
        <v>260</v>
      </c>
    </row>
    <row r="32" spans="1:2" ht="12.75">
      <c r="A32" s="1" t="s">
        <v>104</v>
      </c>
      <c r="B32" s="1" t="s">
        <v>196</v>
      </c>
    </row>
    <row r="33" spans="1:2" ht="12.75">
      <c r="A33" s="1" t="s">
        <v>128</v>
      </c>
      <c r="B33" s="1" t="s">
        <v>21</v>
      </c>
    </row>
    <row r="34" spans="1:3" ht="12.75">
      <c r="A34" t="s">
        <v>168</v>
      </c>
      <c r="B34" s="1" t="s">
        <v>314</v>
      </c>
      <c r="C34"/>
    </row>
    <row r="35" spans="1:2" ht="12.75">
      <c r="A35" t="s">
        <v>258</v>
      </c>
      <c r="B35" s="1" t="s">
        <v>161</v>
      </c>
    </row>
    <row r="36" spans="1:2" ht="12.75">
      <c r="A36" t="s">
        <v>175</v>
      </c>
      <c r="B36" s="1" t="s">
        <v>315</v>
      </c>
    </row>
    <row r="37" spans="1:2" ht="12.75">
      <c r="A37" t="s">
        <v>176</v>
      </c>
      <c r="B37" s="1" t="s">
        <v>162</v>
      </c>
    </row>
    <row r="38" spans="1:2" ht="12.75">
      <c r="A38" t="s">
        <v>105</v>
      </c>
      <c r="B38" s="1" t="s">
        <v>90</v>
      </c>
    </row>
    <row r="39" spans="1:2" ht="12.75">
      <c r="A39" t="s">
        <v>106</v>
      </c>
      <c r="B39" s="1" t="s">
        <v>164</v>
      </c>
    </row>
    <row r="40" spans="1:2" ht="12.75">
      <c r="A40" t="s">
        <v>243</v>
      </c>
      <c r="B40" s="1" t="s">
        <v>142</v>
      </c>
    </row>
    <row r="41" spans="1:2" ht="12.75">
      <c r="A41" t="s">
        <v>244</v>
      </c>
      <c r="B41" s="1" t="s">
        <v>73</v>
      </c>
    </row>
    <row r="42" spans="1:2" ht="12.75">
      <c r="A42" t="s">
        <v>242</v>
      </c>
      <c r="B42" s="1" t="s">
        <v>163</v>
      </c>
    </row>
    <row r="43" spans="1:2" ht="12.75">
      <c r="A43" t="s">
        <v>194</v>
      </c>
      <c r="B43" s="1" t="s">
        <v>74</v>
      </c>
    </row>
    <row r="44" spans="1:2" ht="12.75">
      <c r="A44" t="s">
        <v>246</v>
      </c>
      <c r="B44" s="1" t="s">
        <v>299</v>
      </c>
    </row>
    <row r="45" spans="1:2" ht="12.75">
      <c r="A45" t="s">
        <v>245</v>
      </c>
      <c r="B45" s="1" t="s">
        <v>99</v>
      </c>
    </row>
    <row r="46" spans="1:2" ht="12.75">
      <c r="A46" t="s">
        <v>247</v>
      </c>
      <c r="B46" s="1" t="s">
        <v>207</v>
      </c>
    </row>
    <row r="47" spans="1:2" ht="12.75">
      <c r="A47" t="s">
        <v>248</v>
      </c>
      <c r="B47" s="1" t="s">
        <v>58</v>
      </c>
    </row>
    <row r="48" spans="1:2" ht="12.75">
      <c r="A48" t="s">
        <v>134</v>
      </c>
      <c r="B48" s="1" t="s">
        <v>137</v>
      </c>
    </row>
    <row r="49" spans="1:2" ht="12.75">
      <c r="A49" t="s">
        <v>289</v>
      </c>
      <c r="B49" s="1" t="s">
        <v>160</v>
      </c>
    </row>
    <row r="50" spans="1:2" ht="12.75">
      <c r="A50" t="s">
        <v>136</v>
      </c>
      <c r="B50" s="1" t="s">
        <v>234</v>
      </c>
    </row>
    <row r="51" spans="1:2" ht="12.75">
      <c r="A51" t="s">
        <v>132</v>
      </c>
      <c r="B51" s="1" t="s">
        <v>293</v>
      </c>
    </row>
    <row r="53" ht="12.75">
      <c r="A53" s="2" t="s">
        <v>283</v>
      </c>
    </row>
    <row r="54" spans="1:2" ht="12.75">
      <c r="A54" s="2" t="s">
        <v>236</v>
      </c>
      <c r="B54" s="2" t="s">
        <v>126</v>
      </c>
    </row>
    <row r="55" spans="1:2" ht="12.75">
      <c r="A55" s="1" t="s">
        <v>237</v>
      </c>
      <c r="B55" s="1" t="s">
        <v>238</v>
      </c>
    </row>
    <row r="56" spans="1:2" ht="12.75">
      <c r="A56" s="1" t="s">
        <v>235</v>
      </c>
      <c r="B56" s="1" t="s">
        <v>260</v>
      </c>
    </row>
    <row r="57" spans="1:2" ht="12.75">
      <c r="A57" s="1" t="s">
        <v>239</v>
      </c>
      <c r="B57" s="1" t="s">
        <v>193</v>
      </c>
    </row>
    <row r="58" spans="1:2" ht="12.75">
      <c r="A58" s="1" t="s">
        <v>346</v>
      </c>
      <c r="B58" s="1" t="s">
        <v>262</v>
      </c>
    </row>
    <row r="59" spans="1:2" ht="12.75">
      <c r="A59" s="1" t="s">
        <v>127</v>
      </c>
      <c r="B59" s="1" t="s">
        <v>129</v>
      </c>
    </row>
    <row r="60" spans="1:2" ht="12.75">
      <c r="A60" t="s">
        <v>168</v>
      </c>
      <c r="B60" s="1" t="s">
        <v>314</v>
      </c>
    </row>
    <row r="61" spans="1:2" ht="12.75">
      <c r="A61" t="s">
        <v>258</v>
      </c>
      <c r="B61" s="1" t="s">
        <v>161</v>
      </c>
    </row>
    <row r="62" spans="1:2" ht="12.75">
      <c r="A62" t="s">
        <v>175</v>
      </c>
      <c r="B62" s="1" t="s">
        <v>315</v>
      </c>
    </row>
    <row r="63" spans="1:2" ht="12.75">
      <c r="A63" t="s">
        <v>176</v>
      </c>
      <c r="B63" s="1" t="s">
        <v>162</v>
      </c>
    </row>
    <row r="64" spans="1:2" ht="12.75">
      <c r="A64" t="s">
        <v>105</v>
      </c>
      <c r="B64" s="1" t="s">
        <v>90</v>
      </c>
    </row>
    <row r="65" spans="1:2" ht="12.75">
      <c r="A65" t="s">
        <v>106</v>
      </c>
      <c r="B65" s="1" t="s">
        <v>164</v>
      </c>
    </row>
    <row r="66" spans="1:2" ht="12.75">
      <c r="A66" t="s">
        <v>243</v>
      </c>
      <c r="B66" s="1" t="s">
        <v>142</v>
      </c>
    </row>
    <row r="67" spans="1:2" ht="12.75">
      <c r="A67" t="s">
        <v>244</v>
      </c>
      <c r="B67" s="1" t="s">
        <v>73</v>
      </c>
    </row>
    <row r="68" spans="1:2" ht="12.75">
      <c r="A68" t="s">
        <v>242</v>
      </c>
      <c r="B68" s="1" t="s">
        <v>163</v>
      </c>
    </row>
    <row r="69" spans="1:2" ht="12.75">
      <c r="A69" t="s">
        <v>194</v>
      </c>
      <c r="B69" s="1" t="s">
        <v>74</v>
      </c>
    </row>
    <row r="70" spans="1:2" ht="12.75">
      <c r="A70" t="s">
        <v>246</v>
      </c>
      <c r="B70" s="1" t="s">
        <v>299</v>
      </c>
    </row>
    <row r="71" spans="1:2" ht="12.75">
      <c r="A71" t="s">
        <v>245</v>
      </c>
      <c r="B71" s="1" t="s">
        <v>99</v>
      </c>
    </row>
    <row r="72" spans="1:2" ht="12.75">
      <c r="A72" t="s">
        <v>247</v>
      </c>
      <c r="B72" s="1" t="s">
        <v>207</v>
      </c>
    </row>
    <row r="73" spans="1:2" ht="12.75">
      <c r="A73" t="s">
        <v>248</v>
      </c>
      <c r="B73" s="1" t="s">
        <v>58</v>
      </c>
    </row>
    <row r="74" spans="1:3" ht="12.75">
      <c r="A74" t="s">
        <v>133</v>
      </c>
      <c r="B74" s="63" t="s">
        <v>241</v>
      </c>
      <c r="C74" s="63"/>
    </row>
    <row r="75" spans="1:3" ht="12.75">
      <c r="A75" t="s">
        <v>288</v>
      </c>
      <c r="B75" s="63" t="s">
        <v>316</v>
      </c>
      <c r="C75" s="63"/>
    </row>
    <row r="76" spans="1:3" ht="12.75">
      <c r="A76" t="s">
        <v>135</v>
      </c>
      <c r="B76" s="63" t="s">
        <v>233</v>
      </c>
      <c r="C76" s="63"/>
    </row>
    <row r="77" spans="1:3" ht="12.75">
      <c r="A77" t="s">
        <v>131</v>
      </c>
      <c r="B77" s="63" t="s">
        <v>232</v>
      </c>
      <c r="C77" s="63"/>
    </row>
    <row r="79" ht="12.75">
      <c r="A79" s="2" t="s">
        <v>347</v>
      </c>
    </row>
    <row r="80" spans="1:2" ht="12.75">
      <c r="A80" s="2" t="s">
        <v>285</v>
      </c>
      <c r="B80" s="2" t="s">
        <v>126</v>
      </c>
    </row>
    <row r="81" spans="1:2" ht="12.75">
      <c r="A81" s="1" t="s">
        <v>237</v>
      </c>
      <c r="B81" s="1" t="s">
        <v>238</v>
      </c>
    </row>
    <row r="82" spans="1:2" ht="12.75">
      <c r="A82" s="1" t="s">
        <v>235</v>
      </c>
      <c r="B82" s="1" t="s">
        <v>260</v>
      </c>
    </row>
    <row r="83" spans="1:2" ht="12.75">
      <c r="A83" s="1" t="s">
        <v>239</v>
      </c>
      <c r="B83" s="1" t="s">
        <v>193</v>
      </c>
    </row>
    <row r="84" spans="1:2" ht="12.75">
      <c r="A84" s="1" t="s">
        <v>346</v>
      </c>
      <c r="B84" s="1" t="s">
        <v>141</v>
      </c>
    </row>
    <row r="85" spans="1:2" ht="12.75">
      <c r="A85" s="1" t="s">
        <v>127</v>
      </c>
      <c r="B85" s="1" t="s">
        <v>129</v>
      </c>
    </row>
    <row r="86" spans="1:2" ht="12.75">
      <c r="A86" t="s">
        <v>168</v>
      </c>
      <c r="B86" s="1" t="s">
        <v>314</v>
      </c>
    </row>
    <row r="87" spans="1:2" ht="12.75">
      <c r="A87" t="s">
        <v>258</v>
      </c>
      <c r="B87" s="1" t="s">
        <v>161</v>
      </c>
    </row>
    <row r="88" spans="1:2" ht="12.75">
      <c r="A88" t="s">
        <v>175</v>
      </c>
      <c r="B88" s="1" t="s">
        <v>315</v>
      </c>
    </row>
    <row r="89" spans="1:2" ht="12.75">
      <c r="A89" t="s">
        <v>176</v>
      </c>
      <c r="B89" s="1" t="s">
        <v>162</v>
      </c>
    </row>
    <row r="90" spans="1:2" ht="12.75">
      <c r="A90" t="s">
        <v>105</v>
      </c>
      <c r="B90" s="1" t="s">
        <v>90</v>
      </c>
    </row>
    <row r="91" spans="1:2" ht="12.75">
      <c r="A91" t="s">
        <v>106</v>
      </c>
      <c r="B91" s="1" t="s">
        <v>164</v>
      </c>
    </row>
    <row r="92" spans="1:2" ht="12.75">
      <c r="A92" t="s">
        <v>243</v>
      </c>
      <c r="B92" s="1" t="s">
        <v>142</v>
      </c>
    </row>
    <row r="93" spans="1:2" ht="12.75">
      <c r="A93" t="s">
        <v>244</v>
      </c>
      <c r="B93" s="1" t="s">
        <v>73</v>
      </c>
    </row>
    <row r="94" spans="1:2" ht="12.75">
      <c r="A94" t="s">
        <v>242</v>
      </c>
      <c r="B94" s="1" t="s">
        <v>163</v>
      </c>
    </row>
    <row r="95" spans="1:2" ht="12.75">
      <c r="A95" t="s">
        <v>194</v>
      </c>
      <c r="B95" s="1" t="s">
        <v>74</v>
      </c>
    </row>
    <row r="96" spans="1:2" ht="12.75">
      <c r="A96" t="s">
        <v>246</v>
      </c>
      <c r="B96" s="1" t="s">
        <v>299</v>
      </c>
    </row>
    <row r="97" spans="1:2" ht="12.75">
      <c r="A97" t="s">
        <v>245</v>
      </c>
      <c r="B97" s="1" t="s">
        <v>99</v>
      </c>
    </row>
    <row r="98" spans="1:2" ht="12.75">
      <c r="A98" t="s">
        <v>247</v>
      </c>
      <c r="B98" s="1" t="s">
        <v>207</v>
      </c>
    </row>
    <row r="99" spans="1:2" ht="12.75">
      <c r="A99" t="s">
        <v>248</v>
      </c>
      <c r="B99" s="1" t="s">
        <v>58</v>
      </c>
    </row>
    <row r="100" spans="1:2" ht="12.75">
      <c r="A100" t="s">
        <v>134</v>
      </c>
      <c r="B100" s="1" t="s">
        <v>137</v>
      </c>
    </row>
    <row r="101" spans="1:2" ht="12.75">
      <c r="A101" t="s">
        <v>289</v>
      </c>
      <c r="B101" s="1" t="s">
        <v>160</v>
      </c>
    </row>
    <row r="102" spans="1:2" ht="12.75">
      <c r="A102" t="s">
        <v>136</v>
      </c>
      <c r="B102" s="1" t="s">
        <v>234</v>
      </c>
    </row>
    <row r="103" spans="1:2" ht="12.75">
      <c r="A103" t="s">
        <v>132</v>
      </c>
      <c r="B103" s="1" t="s">
        <v>293</v>
      </c>
    </row>
    <row r="105" ht="12.75">
      <c r="A105"/>
    </row>
    <row r="106" ht="12.75">
      <c r="A106"/>
    </row>
  </sheetData>
  <sheetProtection/>
  <mergeCells count="8">
    <mergeCell ref="B74:C74"/>
    <mergeCell ref="B75:C75"/>
    <mergeCell ref="B76:C76"/>
    <mergeCell ref="B77:C77"/>
    <mergeCell ref="B23:C23"/>
    <mergeCell ref="B24:C24"/>
    <mergeCell ref="B25:C25"/>
    <mergeCell ref="B26:C26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Q20" sqref="Q20"/>
    </sheetView>
  </sheetViews>
  <sheetFormatPr defaultColWidth="11.00390625" defaultRowHeight="12.75"/>
  <cols>
    <col min="1" max="1" width="8.125" style="0" bestFit="1" customWidth="1"/>
    <col min="2" max="2" width="12.00390625" style="0" bestFit="1" customWidth="1"/>
    <col min="3" max="3" width="5.00390625" style="0" bestFit="1" customWidth="1"/>
    <col min="4" max="4" width="12.00390625" style="0" bestFit="1" customWidth="1"/>
    <col min="5" max="5" width="11.625" style="0" bestFit="1" customWidth="1"/>
    <col min="6" max="6" width="12.50390625" style="0" bestFit="1" customWidth="1"/>
    <col min="7" max="7" width="11.375" style="0" customWidth="1"/>
    <col min="8" max="8" width="12.375" style="0" bestFit="1" customWidth="1"/>
    <col min="9" max="9" width="13.375" style="0" bestFit="1" customWidth="1"/>
    <col min="10" max="11" width="12.00390625" style="0" bestFit="1" customWidth="1"/>
    <col min="12" max="12" width="14.50390625" style="0" bestFit="1" customWidth="1"/>
    <col min="13" max="13" width="12.00390625" style="0" bestFit="1" customWidth="1"/>
    <col min="14" max="14" width="12.00390625" style="0" customWidth="1"/>
    <col min="15" max="15" width="13.00390625" style="0" bestFit="1" customWidth="1"/>
    <col min="16" max="16" width="13.00390625" style="0" customWidth="1"/>
    <col min="17" max="17" width="13.50390625" style="0" bestFit="1" customWidth="1"/>
    <col min="18" max="19" width="12.00390625" style="0" bestFit="1" customWidth="1"/>
    <col min="20" max="20" width="12.625" style="0" bestFit="1" customWidth="1"/>
  </cols>
  <sheetData>
    <row r="1" spans="1:20" s="9" customFormat="1" ht="55.5">
      <c r="A1" s="9" t="s">
        <v>68</v>
      </c>
      <c r="B1" s="9" t="s">
        <v>69</v>
      </c>
      <c r="C1" s="9" t="s">
        <v>70</v>
      </c>
      <c r="D1" s="9" t="s">
        <v>71</v>
      </c>
      <c r="E1" s="9" t="s">
        <v>72</v>
      </c>
      <c r="F1" s="9" t="s">
        <v>208</v>
      </c>
      <c r="G1" s="10" t="s">
        <v>179</v>
      </c>
      <c r="H1" s="9" t="s">
        <v>284</v>
      </c>
      <c r="I1" s="9" t="s">
        <v>215</v>
      </c>
      <c r="J1" s="9" t="s">
        <v>216</v>
      </c>
      <c r="K1" s="10" t="s">
        <v>156</v>
      </c>
      <c r="L1" s="9" t="s">
        <v>211</v>
      </c>
      <c r="M1" s="9" t="s">
        <v>212</v>
      </c>
      <c r="N1" s="9" t="s">
        <v>249</v>
      </c>
      <c r="O1" s="9" t="s">
        <v>213</v>
      </c>
      <c r="P1" s="9" t="s">
        <v>77</v>
      </c>
      <c r="Q1" s="9" t="s">
        <v>214</v>
      </c>
      <c r="R1" s="9" t="s">
        <v>152</v>
      </c>
      <c r="S1" s="9" t="s">
        <v>153</v>
      </c>
      <c r="T1" s="9" t="s">
        <v>154</v>
      </c>
    </row>
    <row r="2" spans="1:20" ht="12.75">
      <c r="A2">
        <v>1</v>
      </c>
      <c r="B2" t="s">
        <v>195</v>
      </c>
      <c r="C2" t="s">
        <v>261</v>
      </c>
      <c r="D2">
        <v>22</v>
      </c>
      <c r="E2">
        <v>42.0459</v>
      </c>
      <c r="F2">
        <v>1.9471</v>
      </c>
      <c r="G2">
        <v>43.8723</v>
      </c>
      <c r="H2">
        <f aca="true" t="shared" si="0" ref="H2:H13">G2-E2</f>
        <v>1.8263999999999996</v>
      </c>
      <c r="I2">
        <v>42.2188</v>
      </c>
      <c r="J2">
        <f aca="true" t="shared" si="1" ref="J2:J13">I2-E2</f>
        <v>0.1728999999999985</v>
      </c>
      <c r="K2">
        <v>250</v>
      </c>
      <c r="L2">
        <v>42.0876</v>
      </c>
      <c r="M2">
        <f aca="true" t="shared" si="2" ref="M2:M13">L2-E2</f>
        <v>0.04169999999999874</v>
      </c>
      <c r="N2">
        <v>62.53336597369295</v>
      </c>
      <c r="O2">
        <f>((N2*K2)/10000)/H2</f>
        <v>0.8559648211466953</v>
      </c>
      <c r="P2">
        <f>10*O2</f>
        <v>8.559648211466953</v>
      </c>
      <c r="Q2">
        <f>(H2/F2)*100</f>
        <v>93.8010374402958</v>
      </c>
      <c r="R2">
        <f>((F2-H2)/F2)*100</f>
        <v>6.1989625597042</v>
      </c>
      <c r="S2">
        <f>(J2/H2)*100</f>
        <v>9.466710468681478</v>
      </c>
      <c r="T2">
        <f>(M2/H2)*100</f>
        <v>2.2831800262811406</v>
      </c>
    </row>
    <row r="3" spans="1:20" ht="12.75">
      <c r="A3">
        <v>2</v>
      </c>
      <c r="B3" t="s">
        <v>195</v>
      </c>
      <c r="C3" t="s">
        <v>261</v>
      </c>
      <c r="D3">
        <v>21</v>
      </c>
      <c r="E3">
        <v>41.8637</v>
      </c>
      <c r="F3">
        <v>2.1447</v>
      </c>
      <c r="G3">
        <v>43.8779</v>
      </c>
      <c r="H3">
        <f t="shared" si="0"/>
        <v>2.0141999999999953</v>
      </c>
      <c r="I3">
        <v>42.0517</v>
      </c>
      <c r="J3">
        <f t="shared" si="1"/>
        <v>0.18799999999999528</v>
      </c>
      <c r="K3">
        <v>250</v>
      </c>
      <c r="L3">
        <v>41.9113</v>
      </c>
      <c r="M3">
        <f t="shared" si="2"/>
        <v>0.047599999999995646</v>
      </c>
      <c r="N3">
        <v>74.58648299603904</v>
      </c>
      <c r="O3">
        <f aca="true" t="shared" si="3" ref="O3:O13">((N3*K3)/10000)/H3</f>
        <v>0.9257581545531627</v>
      </c>
      <c r="P3">
        <f aca="true" t="shared" si="4" ref="P3:P13">10*O3</f>
        <v>9.257581545531627</v>
      </c>
      <c r="Q3">
        <f aca="true" t="shared" si="5" ref="Q3:Q13">(H3/F3)*100</f>
        <v>93.91523289970604</v>
      </c>
      <c r="R3">
        <f aca="true" t="shared" si="6" ref="R3:R13">((F3-H3)/F3)*100</f>
        <v>6.084767100293957</v>
      </c>
      <c r="S3">
        <f aca="true" t="shared" si="7" ref="S3:S13">(J3/H3)*100</f>
        <v>9.333730513354965</v>
      </c>
      <c r="T3">
        <f aca="true" t="shared" si="8" ref="T3:T13">(M3/H3)*100</f>
        <v>2.3632211299769517</v>
      </c>
    </row>
    <row r="4" spans="1:20" ht="12.75">
      <c r="A4">
        <v>3</v>
      </c>
      <c r="B4" t="s">
        <v>195</v>
      </c>
      <c r="C4" t="s">
        <v>261</v>
      </c>
      <c r="D4">
        <v>20</v>
      </c>
      <c r="E4">
        <v>46.2966</v>
      </c>
      <c r="F4">
        <v>2.0501</v>
      </c>
      <c r="G4">
        <v>48.2179</v>
      </c>
      <c r="H4">
        <f t="shared" si="0"/>
        <v>1.9213000000000022</v>
      </c>
      <c r="I4">
        <v>46.4816</v>
      </c>
      <c r="J4">
        <f t="shared" si="1"/>
        <v>0.18500000000000227</v>
      </c>
      <c r="K4">
        <v>250</v>
      </c>
      <c r="L4">
        <v>46.342</v>
      </c>
      <c r="M4">
        <f t="shared" si="2"/>
        <v>0.04540000000000077</v>
      </c>
      <c r="N4">
        <v>59.122992747525</v>
      </c>
      <c r="O4">
        <f t="shared" si="3"/>
        <v>0.7693097479249066</v>
      </c>
      <c r="P4">
        <f t="shared" si="4"/>
        <v>7.693097479249066</v>
      </c>
      <c r="Q4">
        <f t="shared" si="5"/>
        <v>93.71737964001767</v>
      </c>
      <c r="R4">
        <f t="shared" si="6"/>
        <v>6.2826203599823325</v>
      </c>
      <c r="S4">
        <f t="shared" si="7"/>
        <v>9.628897100921359</v>
      </c>
      <c r="T4">
        <f t="shared" si="8"/>
        <v>2.36298339665855</v>
      </c>
    </row>
    <row r="5" spans="1:20" ht="12.75">
      <c r="A5">
        <v>4</v>
      </c>
      <c r="B5" t="s">
        <v>195</v>
      </c>
      <c r="C5" t="s">
        <v>165</v>
      </c>
      <c r="D5">
        <v>12</v>
      </c>
      <c r="E5">
        <v>41.6239</v>
      </c>
      <c r="F5">
        <v>2.1363</v>
      </c>
      <c r="G5">
        <v>43.6082</v>
      </c>
      <c r="H5">
        <f t="shared" si="0"/>
        <v>1.9842999999999975</v>
      </c>
      <c r="I5">
        <v>41.8081</v>
      </c>
      <c r="J5">
        <f t="shared" si="1"/>
        <v>0.18420000000000414</v>
      </c>
      <c r="K5">
        <v>250</v>
      </c>
      <c r="L5">
        <v>41.664</v>
      </c>
      <c r="M5">
        <f t="shared" si="2"/>
        <v>0.04010000000000247</v>
      </c>
      <c r="N5">
        <v>38.22834633840502</v>
      </c>
      <c r="O5">
        <f t="shared" si="3"/>
        <v>0.4816351652774916</v>
      </c>
      <c r="P5">
        <f t="shared" si="4"/>
        <v>4.816351652774916</v>
      </c>
      <c r="Q5">
        <f t="shared" si="5"/>
        <v>92.88489444366417</v>
      </c>
      <c r="R5">
        <f t="shared" si="6"/>
        <v>7.1151055563358305</v>
      </c>
      <c r="S5">
        <f t="shared" si="7"/>
        <v>9.282870533689684</v>
      </c>
      <c r="T5">
        <f t="shared" si="8"/>
        <v>2.0208637806784515</v>
      </c>
    </row>
    <row r="6" spans="1:20" ht="12.75">
      <c r="A6">
        <v>5</v>
      </c>
      <c r="B6" t="s">
        <v>195</v>
      </c>
      <c r="C6" t="s">
        <v>165</v>
      </c>
      <c r="D6">
        <v>33</v>
      </c>
      <c r="E6">
        <v>38.5761</v>
      </c>
      <c r="F6">
        <v>2.0995</v>
      </c>
      <c r="G6">
        <v>40.5247</v>
      </c>
      <c r="H6">
        <f t="shared" si="0"/>
        <v>1.948600000000006</v>
      </c>
      <c r="I6">
        <v>38.7511</v>
      </c>
      <c r="J6">
        <f t="shared" si="1"/>
        <v>0.17500000000000426</v>
      </c>
      <c r="K6">
        <v>250</v>
      </c>
      <c r="L6">
        <v>38.6128</v>
      </c>
      <c r="M6">
        <f t="shared" si="2"/>
        <v>0.036700000000003286</v>
      </c>
      <c r="N6">
        <v>56.498411992628995</v>
      </c>
      <c r="O6">
        <f t="shared" si="3"/>
        <v>0.7248590268991688</v>
      </c>
      <c r="P6">
        <f t="shared" si="4"/>
        <v>7.248590268991688</v>
      </c>
      <c r="Q6">
        <f t="shared" si="5"/>
        <v>92.81257442248184</v>
      </c>
      <c r="R6">
        <f t="shared" si="6"/>
        <v>7.187425577518162</v>
      </c>
      <c r="S6">
        <f t="shared" si="7"/>
        <v>8.980806733039296</v>
      </c>
      <c r="T6">
        <f t="shared" si="8"/>
        <v>1.8834034691575063</v>
      </c>
    </row>
    <row r="7" spans="1:20" ht="12.75">
      <c r="A7">
        <v>6</v>
      </c>
      <c r="B7" t="s">
        <v>195</v>
      </c>
      <c r="C7" t="s">
        <v>165</v>
      </c>
      <c r="D7">
        <v>26</v>
      </c>
      <c r="E7">
        <v>44.2278</v>
      </c>
      <c r="F7">
        <v>1.9531</v>
      </c>
      <c r="G7">
        <v>46.0429</v>
      </c>
      <c r="H7">
        <f t="shared" si="0"/>
        <v>1.815100000000001</v>
      </c>
      <c r="I7">
        <v>44.3892</v>
      </c>
      <c r="J7">
        <f t="shared" si="1"/>
        <v>0.16140000000000043</v>
      </c>
      <c r="K7">
        <v>250</v>
      </c>
      <c r="L7">
        <v>44.2624</v>
      </c>
      <c r="M7">
        <f t="shared" si="2"/>
        <v>0.03459999999999752</v>
      </c>
      <c r="N7">
        <v>43.75418585000469</v>
      </c>
      <c r="O7">
        <f t="shared" si="3"/>
        <v>0.6026415328357206</v>
      </c>
      <c r="P7">
        <f t="shared" si="4"/>
        <v>6.026415328357206</v>
      </c>
      <c r="Q7">
        <f t="shared" si="5"/>
        <v>92.93430955916241</v>
      </c>
      <c r="R7">
        <f t="shared" si="6"/>
        <v>7.065690440837592</v>
      </c>
      <c r="S7">
        <f t="shared" si="7"/>
        <v>8.892072062145354</v>
      </c>
      <c r="T7">
        <f t="shared" si="8"/>
        <v>1.906231061649358</v>
      </c>
    </row>
    <row r="8" spans="1:20" ht="12.75">
      <c r="A8">
        <v>7</v>
      </c>
      <c r="B8" t="s">
        <v>195</v>
      </c>
      <c r="C8" t="s">
        <v>166</v>
      </c>
      <c r="D8" t="s">
        <v>159</v>
      </c>
      <c r="E8">
        <v>41.2597</v>
      </c>
      <c r="F8">
        <v>1.8824</v>
      </c>
      <c r="G8">
        <v>43.0146</v>
      </c>
      <c r="H8">
        <f t="shared" si="0"/>
        <v>1.7548999999999992</v>
      </c>
      <c r="I8">
        <v>41.4002</v>
      </c>
      <c r="J8">
        <f t="shared" si="1"/>
        <v>0.14049999999999585</v>
      </c>
      <c r="K8">
        <v>250</v>
      </c>
      <c r="L8">
        <v>41.2891</v>
      </c>
      <c r="M8">
        <f t="shared" si="2"/>
        <v>0.02939999999999543</v>
      </c>
      <c r="N8">
        <v>24.39333418861716</v>
      </c>
      <c r="O8" s="41">
        <f t="shared" si="3"/>
        <v>0.3475031937520254</v>
      </c>
      <c r="P8" s="41">
        <f t="shared" si="4"/>
        <v>3.475031937520254</v>
      </c>
      <c r="Q8">
        <f t="shared" si="5"/>
        <v>93.22673183170417</v>
      </c>
      <c r="R8">
        <f t="shared" si="6"/>
        <v>6.7732681682958376</v>
      </c>
      <c r="S8">
        <f t="shared" si="7"/>
        <v>8.006154196820098</v>
      </c>
      <c r="T8">
        <f t="shared" si="8"/>
        <v>1.6753091344233542</v>
      </c>
    </row>
    <row r="9" spans="1:20" ht="12.75">
      <c r="A9">
        <v>8</v>
      </c>
      <c r="B9" t="s">
        <v>195</v>
      </c>
      <c r="C9" t="s">
        <v>166</v>
      </c>
      <c r="D9">
        <v>18</v>
      </c>
      <c r="E9">
        <v>42.0032</v>
      </c>
      <c r="F9">
        <v>2.2365</v>
      </c>
      <c r="G9">
        <v>44.0878</v>
      </c>
      <c r="H9">
        <f t="shared" si="0"/>
        <v>2.084600000000002</v>
      </c>
      <c r="I9">
        <v>42.1662</v>
      </c>
      <c r="J9">
        <f t="shared" si="1"/>
        <v>0.1630000000000038</v>
      </c>
      <c r="K9">
        <v>250</v>
      </c>
      <c r="L9">
        <v>42.0338</v>
      </c>
      <c r="M9">
        <f t="shared" si="2"/>
        <v>0.03059999999999974</v>
      </c>
      <c r="N9">
        <v>57.154656371687246</v>
      </c>
      <c r="O9">
        <f t="shared" si="3"/>
        <v>0.6854391294695289</v>
      </c>
      <c r="P9">
        <f t="shared" si="4"/>
        <v>6.854391294695289</v>
      </c>
      <c r="Q9">
        <f t="shared" si="5"/>
        <v>93.20813771518004</v>
      </c>
      <c r="R9">
        <f t="shared" si="6"/>
        <v>6.791862284819948</v>
      </c>
      <c r="S9">
        <f t="shared" si="7"/>
        <v>7.819245898493891</v>
      </c>
      <c r="T9" s="13">
        <f t="shared" si="8"/>
        <v>1.467907512232549</v>
      </c>
    </row>
    <row r="10" spans="1:20" ht="12.75">
      <c r="A10">
        <v>9</v>
      </c>
      <c r="B10" t="s">
        <v>195</v>
      </c>
      <c r="C10" t="s">
        <v>166</v>
      </c>
      <c r="D10" t="s">
        <v>67</v>
      </c>
      <c r="E10">
        <v>40.9418</v>
      </c>
      <c r="F10">
        <v>2.0165</v>
      </c>
      <c r="G10">
        <v>42.8222</v>
      </c>
      <c r="H10">
        <f t="shared" si="0"/>
        <v>1.8804000000000016</v>
      </c>
      <c r="I10">
        <v>41.0869</v>
      </c>
      <c r="J10">
        <f t="shared" si="1"/>
        <v>0.14509999999999934</v>
      </c>
      <c r="K10">
        <v>250</v>
      </c>
      <c r="L10">
        <v>40.9756</v>
      </c>
      <c r="M10">
        <f t="shared" si="2"/>
        <v>0.033799999999999386</v>
      </c>
      <c r="N10">
        <v>53.47883613462428</v>
      </c>
      <c r="O10">
        <f t="shared" si="3"/>
        <v>0.7110034585011731</v>
      </c>
      <c r="P10">
        <f t="shared" si="4"/>
        <v>7.11003458501173</v>
      </c>
      <c r="Q10">
        <f t="shared" si="5"/>
        <v>93.25068187453516</v>
      </c>
      <c r="R10">
        <f t="shared" si="6"/>
        <v>6.749318125464843</v>
      </c>
      <c r="S10">
        <f t="shared" si="7"/>
        <v>7.716443309934015</v>
      </c>
      <c r="T10">
        <f t="shared" si="8"/>
        <v>1.797489895766824</v>
      </c>
    </row>
    <row r="11" spans="1:20" ht="12.75">
      <c r="A11">
        <v>10</v>
      </c>
      <c r="B11" t="s">
        <v>195</v>
      </c>
      <c r="C11" t="s">
        <v>167</v>
      </c>
      <c r="D11">
        <v>2</v>
      </c>
      <c r="E11">
        <v>42.5351</v>
      </c>
      <c r="F11">
        <v>1.8498</v>
      </c>
      <c r="G11">
        <v>44.2347</v>
      </c>
      <c r="H11">
        <f t="shared" si="0"/>
        <v>1.6995999999999967</v>
      </c>
      <c r="I11">
        <v>42.697</v>
      </c>
      <c r="J11">
        <f t="shared" si="1"/>
        <v>0.16190000000000282</v>
      </c>
      <c r="K11">
        <v>250</v>
      </c>
      <c r="L11">
        <v>42.563</v>
      </c>
      <c r="M11">
        <f t="shared" si="2"/>
        <v>0.02790000000000248</v>
      </c>
      <c r="N11">
        <v>44.41171309071924</v>
      </c>
      <c r="O11">
        <f t="shared" si="3"/>
        <v>0.6532671377194536</v>
      </c>
      <c r="P11">
        <f t="shared" si="4"/>
        <v>6.532671377194536</v>
      </c>
      <c r="Q11">
        <f t="shared" si="5"/>
        <v>91.88020326521767</v>
      </c>
      <c r="R11">
        <f t="shared" si="6"/>
        <v>8.119796734782323</v>
      </c>
      <c r="S11">
        <f t="shared" si="7"/>
        <v>9.525770769593029</v>
      </c>
      <c r="T11">
        <f t="shared" si="8"/>
        <v>1.6415627206402998</v>
      </c>
    </row>
    <row r="12" spans="1:20" ht="12.75">
      <c r="A12">
        <v>11</v>
      </c>
      <c r="B12" t="s">
        <v>195</v>
      </c>
      <c r="C12" t="s">
        <v>167</v>
      </c>
      <c r="D12">
        <v>10</v>
      </c>
      <c r="E12">
        <v>39.9003</v>
      </c>
      <c r="F12">
        <v>1.893</v>
      </c>
      <c r="G12">
        <v>41.6383</v>
      </c>
      <c r="H12">
        <f t="shared" si="0"/>
        <v>1.7379999999999995</v>
      </c>
      <c r="I12">
        <v>40.0685</v>
      </c>
      <c r="J12">
        <f t="shared" si="1"/>
        <v>0.1681999999999988</v>
      </c>
      <c r="K12">
        <v>250</v>
      </c>
      <c r="L12">
        <v>39.9337</v>
      </c>
      <c r="M12">
        <f t="shared" si="2"/>
        <v>0.03340000000000032</v>
      </c>
      <c r="N12">
        <v>57.154656371687246</v>
      </c>
      <c r="O12">
        <f t="shared" si="3"/>
        <v>0.8221325715144888</v>
      </c>
      <c r="P12">
        <f t="shared" si="4"/>
        <v>8.221325715144888</v>
      </c>
      <c r="Q12">
        <f t="shared" si="5"/>
        <v>91.81193872160588</v>
      </c>
      <c r="R12">
        <f t="shared" si="6"/>
        <v>8.188061278394109</v>
      </c>
      <c r="S12">
        <f t="shared" si="7"/>
        <v>9.677790563866447</v>
      </c>
      <c r="T12" s="41">
        <f t="shared" si="8"/>
        <v>1.9217491369390292</v>
      </c>
    </row>
    <row r="13" spans="1:20" ht="12.75">
      <c r="A13">
        <v>12</v>
      </c>
      <c r="B13" t="s">
        <v>195</v>
      </c>
      <c r="C13" t="s">
        <v>167</v>
      </c>
      <c r="D13">
        <v>29</v>
      </c>
      <c r="E13">
        <v>40.1966</v>
      </c>
      <c r="F13">
        <v>1.9207</v>
      </c>
      <c r="G13">
        <v>41.9584</v>
      </c>
      <c r="H13">
        <f t="shared" si="0"/>
        <v>1.761800000000001</v>
      </c>
      <c r="I13">
        <v>40.3609</v>
      </c>
      <c r="J13">
        <f t="shared" si="1"/>
        <v>0.16430000000000433</v>
      </c>
      <c r="K13">
        <v>250</v>
      </c>
      <c r="L13">
        <v>40.2241</v>
      </c>
      <c r="M13">
        <f t="shared" si="2"/>
        <v>0.02750000000000341</v>
      </c>
      <c r="N13">
        <v>54.397985606945156</v>
      </c>
      <c r="O13">
        <f t="shared" si="3"/>
        <v>0.7719092065919106</v>
      </c>
      <c r="P13">
        <f t="shared" si="4"/>
        <v>7.7190920659191065</v>
      </c>
      <c r="Q13">
        <f t="shared" si="5"/>
        <v>91.72697454053214</v>
      </c>
      <c r="R13">
        <f t="shared" si="6"/>
        <v>8.273025459467858</v>
      </c>
      <c r="S13">
        <f t="shared" si="7"/>
        <v>9.325689635600195</v>
      </c>
      <c r="T13">
        <f t="shared" si="8"/>
        <v>1.560903621296594</v>
      </c>
    </row>
    <row r="17" spans="3:19" s="9" customFormat="1" ht="27.75">
      <c r="C17" s="9" t="s">
        <v>70</v>
      </c>
      <c r="D17" s="10" t="s">
        <v>180</v>
      </c>
      <c r="E17" s="9" t="s">
        <v>217</v>
      </c>
      <c r="F17" s="10" t="s">
        <v>223</v>
      </c>
      <c r="G17" s="9" t="s">
        <v>218</v>
      </c>
      <c r="H17" s="9" t="s">
        <v>217</v>
      </c>
      <c r="I17" s="9" t="s">
        <v>222</v>
      </c>
      <c r="J17" s="9" t="s">
        <v>219</v>
      </c>
      <c r="K17" s="9" t="s">
        <v>220</v>
      </c>
      <c r="L17" s="9" t="s">
        <v>221</v>
      </c>
      <c r="M17" s="14" t="s">
        <v>25</v>
      </c>
      <c r="N17" s="14" t="s">
        <v>26</v>
      </c>
      <c r="O17" s="14" t="s">
        <v>111</v>
      </c>
      <c r="P17" s="14" t="s">
        <v>291</v>
      </c>
      <c r="Q17" s="14" t="s">
        <v>348</v>
      </c>
      <c r="R17" s="14" t="s">
        <v>135</v>
      </c>
      <c r="S17" s="14" t="s">
        <v>352</v>
      </c>
    </row>
    <row r="18" spans="3:19" ht="12.75">
      <c r="C18" s="5" t="s">
        <v>261</v>
      </c>
      <c r="D18">
        <f>AVERAGE(Q2:Q4)</f>
        <v>93.8112166600065</v>
      </c>
      <c r="E18">
        <f>STDEV(Q2:Q4)</f>
        <v>0.09931863107074976</v>
      </c>
      <c r="F18">
        <f>(E18/D18)*100</f>
        <v>0.10587074190787164</v>
      </c>
      <c r="G18">
        <f>AVERAGE(S2:S4)</f>
        <v>9.4764460276526</v>
      </c>
      <c r="H18">
        <f>STDEV(S2:S4)</f>
        <v>0.1478239305229622</v>
      </c>
      <c r="I18">
        <f>100*(H18/G18)</f>
        <v>1.5599089583965002</v>
      </c>
      <c r="J18">
        <f>AVERAGE(T2:T4)</f>
        <v>2.3364615176388805</v>
      </c>
      <c r="K18">
        <f>STDEV(T2:T4)</f>
        <v>0.04614327816986316</v>
      </c>
      <c r="L18">
        <f>100*(K18/J18)</f>
        <v>1.9749213852447016</v>
      </c>
      <c r="M18">
        <f>AVERAGE(O2:O4)</f>
        <v>0.8503442412082549</v>
      </c>
      <c r="N18">
        <f>STDEV(O2:O4)</f>
        <v>0.07837550110374632</v>
      </c>
      <c r="O18" s="8">
        <f>100*(N18/M18)</f>
        <v>9.216914433663066</v>
      </c>
      <c r="P18" s="13">
        <f>N18/(SQRT(3))</f>
        <v>0.04525011666011975</v>
      </c>
      <c r="Q18">
        <f>AVERAGE(P2:P4)</f>
        <v>8.503442412082547</v>
      </c>
      <c r="R18">
        <f>STDEV(P2:P4)</f>
        <v>0.7837550110374633</v>
      </c>
      <c r="S18" s="13">
        <f>R18/(SQRT(3))</f>
        <v>0.45250116660119755</v>
      </c>
    </row>
    <row r="19" spans="3:19" ht="12.75">
      <c r="C19" t="s">
        <v>174</v>
      </c>
      <c r="D19">
        <f>AVERAGE(Q5:Q7)</f>
        <v>92.8772594751028</v>
      </c>
      <c r="E19">
        <f>STDEV(Q5:Q7)</f>
        <v>0.06122565176753089</v>
      </c>
      <c r="F19">
        <f>(E19/D19)*100</f>
        <v>0.06592103612181126</v>
      </c>
      <c r="G19">
        <f>AVERAGE(S5:S7)</f>
        <v>9.051916442958111</v>
      </c>
      <c r="H19">
        <f>STDEV(S5:S7)</f>
        <v>0.20487387455188003</v>
      </c>
      <c r="I19" s="11">
        <f>100*(H19/G19)</f>
        <v>2.2633204343292466</v>
      </c>
      <c r="J19">
        <f>AVERAGE(T5:T7)</f>
        <v>1.9368327704951056</v>
      </c>
      <c r="K19">
        <f>STDEV(T5:T7)</f>
        <v>0.07366262789955798</v>
      </c>
      <c r="L19">
        <f>100*(K19/J19)</f>
        <v>3.803251835765246</v>
      </c>
      <c r="M19">
        <f>AVERAGE(O5:O7)</f>
        <v>0.6030452416707938</v>
      </c>
      <c r="N19">
        <f>STDEV(O5:O7)</f>
        <v>0.12161243337404981</v>
      </c>
      <c r="O19" s="8">
        <f>100*(N19/M19)</f>
        <v>20.166386362175924</v>
      </c>
      <c r="P19" s="13">
        <f>N19/(SQRT(3))</f>
        <v>0.0702129711453131</v>
      </c>
      <c r="Q19">
        <f>AVERAGE(P5:P7)</f>
        <v>6.030452416707937</v>
      </c>
      <c r="R19">
        <f>STDEV(P5:P7)</f>
        <v>1.216124333740503</v>
      </c>
      <c r="S19" s="13">
        <f>R19/(SQRT(3))</f>
        <v>0.7021297114531337</v>
      </c>
    </row>
    <row r="20" spans="3:19" ht="12.75">
      <c r="C20" t="s">
        <v>100</v>
      </c>
      <c r="D20">
        <f>AVERAGE(Q8:Q10)</f>
        <v>93.22851714047313</v>
      </c>
      <c r="E20">
        <f>STDEV(Q8:Q10)</f>
        <v>0.021328194235771012</v>
      </c>
      <c r="F20">
        <f>(E20/D20)*100</f>
        <v>0.02287732862213663</v>
      </c>
      <c r="G20">
        <f>AVERAGE(S8:S10)</f>
        <v>7.847281135082668</v>
      </c>
      <c r="H20">
        <f>STDEV(S8:S10)</f>
        <v>0.1468760714446766</v>
      </c>
      <c r="I20">
        <f>100*(H20/G20)</f>
        <v>1.8716810181304828</v>
      </c>
      <c r="J20" s="13">
        <f>AVERAGE(T8:T10)</f>
        <v>1.6469021808075757</v>
      </c>
      <c r="K20">
        <f>STDEV(T8:T10)</f>
        <v>0.16661738548041807</v>
      </c>
      <c r="L20" s="8">
        <f>100*(K20/J20)</f>
        <v>10.117017721035229</v>
      </c>
      <c r="M20" s="40">
        <f>AVERAGE(O9:O10)</f>
        <v>0.6982212939853509</v>
      </c>
      <c r="N20">
        <f>STDEV(O9:O10)</f>
        <v>0.018076710414759726</v>
      </c>
      <c r="O20" s="13">
        <f>100*(N20/M20)</f>
        <v>2.5889657864171336</v>
      </c>
      <c r="P20" s="13">
        <f>N20/(SQRT(2))</f>
        <v>0.012782164515822089</v>
      </c>
      <c r="Q20" s="40">
        <f>AVERAGE(P9:P10)</f>
        <v>6.982212939853509</v>
      </c>
      <c r="R20">
        <f>STDEV(P9:P10)</f>
        <v>0.1807671041475968</v>
      </c>
      <c r="S20" s="13">
        <f>R20/(SQRT(2))</f>
        <v>0.1278216451582206</v>
      </c>
    </row>
    <row r="21" spans="3:19" ht="12.75">
      <c r="C21" t="s">
        <v>101</v>
      </c>
      <c r="D21">
        <f>AVERAGE(Q11:Q13)</f>
        <v>91.80637217578523</v>
      </c>
      <c r="E21">
        <f>STDEV(Q11:Q13)</f>
        <v>0.0767658800605373</v>
      </c>
      <c r="F21">
        <f>(E21/D21)*100</f>
        <v>0.08361715885423585</v>
      </c>
      <c r="G21">
        <f>AVERAGE(S11:S13)</f>
        <v>9.50975032301989</v>
      </c>
      <c r="H21">
        <f>STDEV(S11:S13)</f>
        <v>0.17659631069983056</v>
      </c>
      <c r="I21">
        <f>100*(H21/G21)</f>
        <v>1.8570025994515398</v>
      </c>
      <c r="J21" s="40">
        <f>AVERAGE(T11,T13)</f>
        <v>1.601233170968447</v>
      </c>
      <c r="K21">
        <f>STDEV(T11,T13)</f>
        <v>0.057034596110333735</v>
      </c>
      <c r="L21" s="13">
        <f>100*(K21/J21)</f>
        <v>3.5619169740181222</v>
      </c>
      <c r="M21">
        <f>AVERAGE(O11:O13)</f>
        <v>0.749102971941951</v>
      </c>
      <c r="N21">
        <f>STDEV(O11:O13)</f>
        <v>0.08671203455621443</v>
      </c>
      <c r="O21" s="8">
        <f>100*(N21/M21)</f>
        <v>11.57544927787763</v>
      </c>
      <c r="P21" s="13">
        <f>N21/(SQRT(3))</f>
        <v>0.050063216493010536</v>
      </c>
      <c r="Q21">
        <f>AVERAGE(P11:P13)</f>
        <v>7.491029719419511</v>
      </c>
      <c r="R21">
        <f>STDEV(P11:P13)</f>
        <v>0.8671203455621439</v>
      </c>
      <c r="S21" s="13">
        <f>R21/(SQRT(3))</f>
        <v>0.5006321649301051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V16384"/>
    </sheetView>
  </sheetViews>
  <sheetFormatPr defaultColWidth="11.00390625" defaultRowHeight="12.75"/>
  <cols>
    <col min="1" max="1" width="10.125" style="0" bestFit="1" customWidth="1"/>
    <col min="2" max="2" width="9.625" style="0" bestFit="1" customWidth="1"/>
    <col min="3" max="3" width="13.875" style="0" bestFit="1" customWidth="1"/>
    <col min="4" max="4" width="10.625" style="0" bestFit="1" customWidth="1"/>
    <col min="5" max="5" width="14.625" style="0" bestFit="1" customWidth="1"/>
    <col min="6" max="6" width="15.875" style="0" bestFit="1" customWidth="1"/>
    <col min="7" max="7" width="12.125" style="0" bestFit="1" customWidth="1"/>
    <col min="8" max="8" width="15.375" style="0" bestFit="1" customWidth="1"/>
    <col min="9" max="9" width="16.875" style="0" bestFit="1" customWidth="1"/>
    <col min="10" max="11" width="12.125" style="0" bestFit="1" customWidth="1"/>
    <col min="12" max="12" width="17.875" style="0" bestFit="1" customWidth="1"/>
    <col min="13" max="13" width="14.875" style="0" bestFit="1" customWidth="1"/>
    <col min="14" max="14" width="18.125" style="0" bestFit="1" customWidth="1"/>
    <col min="15" max="15" width="14.00390625" style="0" bestFit="1" customWidth="1"/>
    <col min="16" max="16" width="13.00390625" style="0" bestFit="1" customWidth="1"/>
    <col min="17" max="18" width="12.125" style="0" bestFit="1" customWidth="1"/>
  </cols>
  <sheetData>
    <row r="1" spans="1:17" s="9" customFormat="1" ht="42">
      <c r="A1" s="9" t="s">
        <v>68</v>
      </c>
      <c r="B1" s="9" t="s">
        <v>69</v>
      </c>
      <c r="C1" s="9" t="s">
        <v>92</v>
      </c>
      <c r="D1" s="9" t="s">
        <v>71</v>
      </c>
      <c r="E1" s="9" t="s">
        <v>72</v>
      </c>
      <c r="F1" s="9" t="s">
        <v>208</v>
      </c>
      <c r="G1" s="10" t="s">
        <v>18</v>
      </c>
      <c r="H1" s="9" t="s">
        <v>284</v>
      </c>
      <c r="I1" s="9" t="s">
        <v>215</v>
      </c>
      <c r="J1" s="9" t="s">
        <v>216</v>
      </c>
      <c r="K1" s="9" t="s">
        <v>249</v>
      </c>
      <c r="L1" s="9" t="s">
        <v>290</v>
      </c>
      <c r="M1" s="9" t="s">
        <v>213</v>
      </c>
      <c r="N1" s="9" t="s">
        <v>78</v>
      </c>
      <c r="O1" s="9" t="s">
        <v>214</v>
      </c>
      <c r="P1" s="9" t="s">
        <v>152</v>
      </c>
      <c r="Q1" s="9" t="s">
        <v>153</v>
      </c>
    </row>
    <row r="2" spans="1:17" ht="12.75">
      <c r="A2">
        <v>1</v>
      </c>
      <c r="B2" t="s">
        <v>197</v>
      </c>
      <c r="C2" t="s">
        <v>198</v>
      </c>
      <c r="D2">
        <v>20</v>
      </c>
      <c r="E2" s="4">
        <v>19.8464</v>
      </c>
      <c r="F2" s="4">
        <v>2.021</v>
      </c>
      <c r="G2" s="4">
        <v>21.7216</v>
      </c>
      <c r="H2" s="4">
        <f aca="true" t="shared" si="0" ref="H2:H13">G2-E2</f>
        <v>1.8751999999999995</v>
      </c>
      <c r="I2" s="4">
        <v>20.272</v>
      </c>
      <c r="J2" s="4">
        <f aca="true" t="shared" si="1" ref="J2:J13">I2-E2</f>
        <v>0.4255999999999993</v>
      </c>
      <c r="K2" s="27">
        <v>147.72921042594902</v>
      </c>
      <c r="L2">
        <v>250</v>
      </c>
      <c r="M2">
        <f>((K2*L2)/10000)/H2</f>
        <v>1.9695127243220598</v>
      </c>
      <c r="N2">
        <f>10*M2</f>
        <v>19.695127243220597</v>
      </c>
      <c r="O2">
        <f>(H2/F2)*100</f>
        <v>92.78574962889657</v>
      </c>
      <c r="P2">
        <f>((F2-H2)/F2)*100</f>
        <v>7.214250371103432</v>
      </c>
      <c r="Q2">
        <f>(J2/H2)*100</f>
        <v>22.696245733788363</v>
      </c>
    </row>
    <row r="3" spans="1:17" ht="12.75">
      <c r="A3">
        <v>2</v>
      </c>
      <c r="B3" t="s">
        <v>197</v>
      </c>
      <c r="C3" t="s">
        <v>198</v>
      </c>
      <c r="D3">
        <v>6</v>
      </c>
      <c r="E3" s="4">
        <v>18.0557</v>
      </c>
      <c r="F3" s="4">
        <v>2.0946</v>
      </c>
      <c r="G3" s="4">
        <v>20.0001</v>
      </c>
      <c r="H3" s="4">
        <f t="shared" si="0"/>
        <v>1.9443999999999981</v>
      </c>
      <c r="I3" s="4">
        <v>18.4909</v>
      </c>
      <c r="J3" s="4">
        <f t="shared" si="1"/>
        <v>0.43519999999999825</v>
      </c>
      <c r="K3" s="27">
        <v>23.86570948024404</v>
      </c>
      <c r="L3">
        <v>250</v>
      </c>
      <c r="M3" s="41">
        <f aca="true" t="shared" si="2" ref="M3:M13">((K3*L3)/10000)/H3</f>
        <v>0.3068518499311364</v>
      </c>
      <c r="N3">
        <f aca="true" t="shared" si="3" ref="N3:N13">10*M3</f>
        <v>3.068518499311364</v>
      </c>
      <c r="O3">
        <f aca="true" t="shared" si="4" ref="O3:O13">(H3/F3)*100</f>
        <v>92.82917979566496</v>
      </c>
      <c r="P3">
        <f aca="true" t="shared" si="5" ref="P3:P13">((F3-H3)/F3)*100</f>
        <v>7.170820204335036</v>
      </c>
      <c r="Q3">
        <f aca="true" t="shared" si="6" ref="Q3:Q13">(J3/H3)*100</f>
        <v>22.382225879448605</v>
      </c>
    </row>
    <row r="4" spans="1:17" ht="12.75">
      <c r="A4">
        <v>3</v>
      </c>
      <c r="B4" t="s">
        <v>197</v>
      </c>
      <c r="C4" t="s">
        <v>198</v>
      </c>
      <c r="D4">
        <v>5</v>
      </c>
      <c r="E4" s="4">
        <v>17.3466</v>
      </c>
      <c r="F4" s="4">
        <v>2.0664</v>
      </c>
      <c r="G4" s="4">
        <v>19.2638</v>
      </c>
      <c r="H4" s="4">
        <f t="shared" si="0"/>
        <v>1.9172000000000011</v>
      </c>
      <c r="I4" s="4">
        <v>17.7841</v>
      </c>
      <c r="J4" s="4">
        <f t="shared" si="1"/>
        <v>0.4375</v>
      </c>
      <c r="K4" s="27">
        <v>147.72921042594902</v>
      </c>
      <c r="L4">
        <v>250</v>
      </c>
      <c r="M4">
        <f t="shared" si="2"/>
        <v>1.9263667122098493</v>
      </c>
      <c r="N4">
        <f t="shared" si="3"/>
        <v>19.263667122098493</v>
      </c>
      <c r="O4">
        <f t="shared" si="4"/>
        <v>92.7797135114209</v>
      </c>
      <c r="P4">
        <f t="shared" si="5"/>
        <v>7.220286488579107</v>
      </c>
      <c r="Q4">
        <f t="shared" si="6"/>
        <v>22.819737116628403</v>
      </c>
    </row>
    <row r="5" spans="1:17" ht="12.75">
      <c r="A5">
        <v>4</v>
      </c>
      <c r="B5" t="s">
        <v>197</v>
      </c>
      <c r="C5" t="s">
        <v>199</v>
      </c>
      <c r="D5">
        <v>25</v>
      </c>
      <c r="E5" s="4">
        <v>16.5788</v>
      </c>
      <c r="F5" s="4">
        <v>2.0385</v>
      </c>
      <c r="G5" s="4">
        <v>18.4656</v>
      </c>
      <c r="H5" s="4">
        <f t="shared" si="0"/>
        <v>1.8867999999999974</v>
      </c>
      <c r="I5" s="4">
        <v>16.7221</v>
      </c>
      <c r="J5" s="4">
        <f t="shared" si="1"/>
        <v>0.14329999999999998</v>
      </c>
      <c r="K5" s="27">
        <v>41.912757780951814</v>
      </c>
      <c r="L5">
        <v>250</v>
      </c>
      <c r="M5">
        <f t="shared" si="2"/>
        <v>0.5553418192303353</v>
      </c>
      <c r="N5">
        <f t="shared" si="3"/>
        <v>5.553418192303353</v>
      </c>
      <c r="O5">
        <f t="shared" si="4"/>
        <v>92.55825361785614</v>
      </c>
      <c r="P5">
        <f t="shared" si="5"/>
        <v>7.441746382143862</v>
      </c>
      <c r="Q5">
        <f t="shared" si="6"/>
        <v>7.594869620521527</v>
      </c>
    </row>
    <row r="6" spans="1:17" ht="12.75">
      <c r="A6">
        <v>5</v>
      </c>
      <c r="B6" t="s">
        <v>197</v>
      </c>
      <c r="C6" t="s">
        <v>199</v>
      </c>
      <c r="D6">
        <v>17</v>
      </c>
      <c r="E6" s="4">
        <v>17.7682</v>
      </c>
      <c r="F6" s="4">
        <v>2.1899</v>
      </c>
      <c r="G6" s="4">
        <v>19.7861</v>
      </c>
      <c r="H6" s="4">
        <f t="shared" si="0"/>
        <v>2.017900000000001</v>
      </c>
      <c r="I6" s="4">
        <v>17.922</v>
      </c>
      <c r="J6" s="4">
        <f t="shared" si="1"/>
        <v>0.15380000000000038</v>
      </c>
      <c r="K6" s="27">
        <v>33.48819878520525</v>
      </c>
      <c r="L6">
        <v>250</v>
      </c>
      <c r="M6">
        <f t="shared" si="2"/>
        <v>0.4148892262402155</v>
      </c>
      <c r="N6">
        <f t="shared" si="3"/>
        <v>4.148892262402155</v>
      </c>
      <c r="O6">
        <f t="shared" si="4"/>
        <v>92.145760080369</v>
      </c>
      <c r="P6">
        <f t="shared" si="5"/>
        <v>7.8542399196309995</v>
      </c>
      <c r="Q6">
        <f t="shared" si="6"/>
        <v>7.621785024034904</v>
      </c>
    </row>
    <row r="7" spans="1:17" ht="12.75">
      <c r="A7">
        <v>6</v>
      </c>
      <c r="B7" t="s">
        <v>197</v>
      </c>
      <c r="C7" t="s">
        <v>199</v>
      </c>
      <c r="D7">
        <v>14</v>
      </c>
      <c r="E7" s="4">
        <v>18.8969</v>
      </c>
      <c r="F7" s="4">
        <v>2.0082</v>
      </c>
      <c r="G7" s="4">
        <v>20.7563</v>
      </c>
      <c r="H7" s="4">
        <f t="shared" si="0"/>
        <v>1.8594000000000008</v>
      </c>
      <c r="I7" s="4">
        <v>19.0384</v>
      </c>
      <c r="J7" s="4">
        <f t="shared" si="1"/>
        <v>0.14150000000000063</v>
      </c>
      <c r="K7" s="27">
        <v>34.27846143420741</v>
      </c>
      <c r="L7">
        <v>250</v>
      </c>
      <c r="M7">
        <f t="shared" si="2"/>
        <v>0.4608806797112965</v>
      </c>
      <c r="N7">
        <f t="shared" si="3"/>
        <v>4.6088067971129645</v>
      </c>
      <c r="O7">
        <f t="shared" si="4"/>
        <v>92.5903794442785</v>
      </c>
      <c r="P7">
        <f t="shared" si="5"/>
        <v>7.409620555721499</v>
      </c>
      <c r="Q7">
        <f t="shared" si="6"/>
        <v>7.6099817145315996</v>
      </c>
    </row>
    <row r="8" spans="1:17" ht="12.75">
      <c r="A8">
        <v>7</v>
      </c>
      <c r="B8" t="s">
        <v>197</v>
      </c>
      <c r="C8" t="s">
        <v>200</v>
      </c>
      <c r="D8">
        <v>23</v>
      </c>
      <c r="E8" s="4">
        <v>18.7482</v>
      </c>
      <c r="F8" s="4">
        <v>2.0807</v>
      </c>
      <c r="G8" s="4">
        <v>20.7343</v>
      </c>
      <c r="H8" s="4">
        <f t="shared" si="0"/>
        <v>1.9861000000000004</v>
      </c>
      <c r="I8" s="4">
        <v>18.8467</v>
      </c>
      <c r="J8" s="4">
        <f t="shared" si="1"/>
        <v>0.09849999999999781</v>
      </c>
      <c r="K8" s="27">
        <v>46.64681108001525</v>
      </c>
      <c r="L8">
        <v>250</v>
      </c>
      <c r="M8">
        <f t="shared" si="2"/>
        <v>0.5871659417956704</v>
      </c>
      <c r="N8">
        <f t="shared" si="3"/>
        <v>5.871659417956704</v>
      </c>
      <c r="O8">
        <f t="shared" si="4"/>
        <v>95.45345316480032</v>
      </c>
      <c r="P8">
        <f t="shared" si="5"/>
        <v>4.546546835199682</v>
      </c>
      <c r="Q8">
        <f t="shared" si="6"/>
        <v>4.959468304717678</v>
      </c>
    </row>
    <row r="9" spans="1:17" ht="12.75">
      <c r="A9">
        <v>8</v>
      </c>
      <c r="B9" t="s">
        <v>197</v>
      </c>
      <c r="C9" t="s">
        <v>200</v>
      </c>
      <c r="D9">
        <v>15</v>
      </c>
      <c r="E9" s="4">
        <v>19.2341</v>
      </c>
      <c r="F9" s="4">
        <v>2.123</v>
      </c>
      <c r="G9" s="4">
        <v>21.2607</v>
      </c>
      <c r="H9" s="4">
        <f t="shared" si="0"/>
        <v>2.0265999999999984</v>
      </c>
      <c r="I9" s="4">
        <v>19.3374</v>
      </c>
      <c r="J9" s="4">
        <f t="shared" si="1"/>
        <v>0.10329999999999728</v>
      </c>
      <c r="K9" s="27">
        <v>46.7453674572</v>
      </c>
      <c r="L9">
        <v>250</v>
      </c>
      <c r="M9">
        <f t="shared" si="2"/>
        <v>0.5766476790831939</v>
      </c>
      <c r="N9">
        <f t="shared" si="3"/>
        <v>5.766476790831939</v>
      </c>
      <c r="O9">
        <f t="shared" si="4"/>
        <v>95.45925577013651</v>
      </c>
      <c r="P9">
        <f t="shared" si="5"/>
        <v>4.540744229863486</v>
      </c>
      <c r="Q9">
        <f t="shared" si="6"/>
        <v>5.097207144971744</v>
      </c>
    </row>
    <row r="10" spans="1:17" ht="12.75">
      <c r="A10">
        <v>9</v>
      </c>
      <c r="B10" t="s">
        <v>197</v>
      </c>
      <c r="C10" t="s">
        <v>200</v>
      </c>
      <c r="D10">
        <v>3</v>
      </c>
      <c r="E10" s="4">
        <v>21.6427</v>
      </c>
      <c r="F10" s="4">
        <v>2.0155</v>
      </c>
      <c r="G10" s="4">
        <v>23.5693</v>
      </c>
      <c r="H10" s="4">
        <f t="shared" si="0"/>
        <v>1.926599999999997</v>
      </c>
      <c r="I10" s="4">
        <v>21.7365</v>
      </c>
      <c r="J10" s="4">
        <f t="shared" si="1"/>
        <v>0.09379999999999811</v>
      </c>
      <c r="K10" s="27">
        <v>44.806197694241014</v>
      </c>
      <c r="L10">
        <v>250</v>
      </c>
      <c r="M10">
        <f t="shared" si="2"/>
        <v>0.5814154169812245</v>
      </c>
      <c r="N10">
        <f t="shared" si="3"/>
        <v>5.8141541698122445</v>
      </c>
      <c r="O10">
        <f t="shared" si="4"/>
        <v>95.58918382535336</v>
      </c>
      <c r="P10">
        <f t="shared" si="5"/>
        <v>4.410816174646632</v>
      </c>
      <c r="Q10">
        <f t="shared" si="6"/>
        <v>4.868680577182511</v>
      </c>
    </row>
    <row r="11" spans="1:17" ht="12.75">
      <c r="A11">
        <v>10</v>
      </c>
      <c r="B11" t="s">
        <v>197</v>
      </c>
      <c r="C11" t="s">
        <v>138</v>
      </c>
      <c r="D11">
        <v>13</v>
      </c>
      <c r="E11" s="4">
        <v>16.2019</v>
      </c>
      <c r="F11" s="4">
        <v>2.0614</v>
      </c>
      <c r="G11" s="4">
        <v>18.2316</v>
      </c>
      <c r="H11" s="4">
        <f t="shared" si="0"/>
        <v>2.029700000000002</v>
      </c>
      <c r="I11" s="4">
        <v>16.397</v>
      </c>
      <c r="J11" s="4">
        <f t="shared" si="1"/>
        <v>0.19510000000000005</v>
      </c>
      <c r="K11" s="27">
        <v>48.092643613802764</v>
      </c>
      <c r="L11">
        <v>250</v>
      </c>
      <c r="M11">
        <f t="shared" si="2"/>
        <v>0.5923614772355856</v>
      </c>
      <c r="N11">
        <f t="shared" si="3"/>
        <v>5.923614772355856</v>
      </c>
      <c r="O11">
        <f t="shared" si="4"/>
        <v>98.46221014844289</v>
      </c>
      <c r="P11">
        <f t="shared" si="5"/>
        <v>1.5377898515571002</v>
      </c>
      <c r="Q11">
        <f t="shared" si="6"/>
        <v>9.612257969157998</v>
      </c>
    </row>
    <row r="12" spans="1:17" ht="12.75">
      <c r="A12">
        <v>11</v>
      </c>
      <c r="B12" t="s">
        <v>197</v>
      </c>
      <c r="C12" t="s">
        <v>138</v>
      </c>
      <c r="D12">
        <v>22</v>
      </c>
      <c r="E12" s="4">
        <v>22.9393</v>
      </c>
      <c r="F12" s="4">
        <v>2.0375</v>
      </c>
      <c r="G12" s="4">
        <v>24.9467</v>
      </c>
      <c r="H12" s="4">
        <f t="shared" si="0"/>
        <v>2.0074000000000005</v>
      </c>
      <c r="I12" s="4">
        <v>23.1323</v>
      </c>
      <c r="J12" s="4">
        <f t="shared" si="1"/>
        <v>0.1930000000000014</v>
      </c>
      <c r="K12" s="27">
        <v>41.583860584277744</v>
      </c>
      <c r="L12">
        <v>250</v>
      </c>
      <c r="M12">
        <f t="shared" si="2"/>
        <v>0.5178820935573096</v>
      </c>
      <c r="N12">
        <f t="shared" si="3"/>
        <v>5.178820935573096</v>
      </c>
      <c r="O12">
        <f t="shared" si="4"/>
        <v>98.52269938650309</v>
      </c>
      <c r="P12">
        <f t="shared" si="5"/>
        <v>1.4773006134969113</v>
      </c>
      <c r="Q12">
        <f t="shared" si="6"/>
        <v>9.614426621500517</v>
      </c>
    </row>
    <row r="13" spans="1:17" ht="12.75">
      <c r="A13">
        <v>12</v>
      </c>
      <c r="B13" t="s">
        <v>197</v>
      </c>
      <c r="C13" t="s">
        <v>138</v>
      </c>
      <c r="D13">
        <v>12</v>
      </c>
      <c r="E13" s="4">
        <v>17.3739</v>
      </c>
      <c r="F13" s="4">
        <v>2.0034</v>
      </c>
      <c r="G13" s="4">
        <v>19.3497</v>
      </c>
      <c r="H13" s="4">
        <f t="shared" si="0"/>
        <v>1.9757999999999996</v>
      </c>
      <c r="I13" s="4">
        <v>17.5641</v>
      </c>
      <c r="J13" s="4">
        <f t="shared" si="1"/>
        <v>0.1902000000000008</v>
      </c>
      <c r="K13" s="27">
        <v>34.41016261794324</v>
      </c>
      <c r="L13">
        <v>250</v>
      </c>
      <c r="M13">
        <f t="shared" si="2"/>
        <v>0.4353953160484772</v>
      </c>
      <c r="N13">
        <f t="shared" si="3"/>
        <v>4.353953160484772</v>
      </c>
      <c r="O13">
        <f t="shared" si="4"/>
        <v>98.6223420185684</v>
      </c>
      <c r="P13">
        <f t="shared" si="5"/>
        <v>1.377657981431592</v>
      </c>
      <c r="Q13">
        <f t="shared" si="6"/>
        <v>9.62648041299731</v>
      </c>
    </row>
    <row r="17" spans="1:18" ht="27.75">
      <c r="A17" s="6"/>
      <c r="B17" s="27"/>
      <c r="E17" s="9" t="s">
        <v>93</v>
      </c>
      <c r="F17" s="10" t="s">
        <v>308</v>
      </c>
      <c r="G17" s="9" t="s">
        <v>95</v>
      </c>
      <c r="H17" s="9" t="s">
        <v>96</v>
      </c>
      <c r="I17" s="10" t="s">
        <v>309</v>
      </c>
      <c r="J17" s="9" t="s">
        <v>95</v>
      </c>
      <c r="K17" s="9" t="s">
        <v>98</v>
      </c>
      <c r="L17" s="14" t="s">
        <v>112</v>
      </c>
      <c r="M17" s="14" t="s">
        <v>108</v>
      </c>
      <c r="N17" s="14" t="s">
        <v>24</v>
      </c>
      <c r="O17" s="14" t="s">
        <v>295</v>
      </c>
      <c r="P17" s="14" t="s">
        <v>348</v>
      </c>
      <c r="Q17" s="14" t="s">
        <v>135</v>
      </c>
      <c r="R17" s="14" t="s">
        <v>352</v>
      </c>
    </row>
    <row r="18" spans="1:18" ht="12.75">
      <c r="A18" s="6"/>
      <c r="B18" s="27"/>
      <c r="E18" s="5" t="s">
        <v>22</v>
      </c>
      <c r="F18">
        <f>AVERAGE(O2:O4)</f>
        <v>92.79821431199413</v>
      </c>
      <c r="G18">
        <f>STDEV(O2:O4)</f>
        <v>0.026986192076147858</v>
      </c>
      <c r="H18">
        <f>(G18/F18)*100</f>
        <v>0.029080507934579843</v>
      </c>
      <c r="I18">
        <f>AVERAGE(Q2:Q4)</f>
        <v>22.63273624328846</v>
      </c>
      <c r="J18">
        <f>STDEV(Q2:Q4)</f>
        <v>0.22556398693567564</v>
      </c>
      <c r="K18">
        <f>100*(J18/I18)</f>
        <v>0.9966271179542627</v>
      </c>
      <c r="L18" s="40">
        <f>AVERAGE(M2,M4)</f>
        <v>1.9479397182659546</v>
      </c>
      <c r="M18">
        <f>STDEV(M2:M4)</f>
        <v>0.9477280860680469</v>
      </c>
      <c r="N18" s="8">
        <f>100*(M18/L18)</f>
        <v>48.65284470464565</v>
      </c>
      <c r="O18">
        <f>M18/(SQRT(3))</f>
        <v>0.5471710656099558</v>
      </c>
      <c r="P18" s="40">
        <f>AVERAGE(N2,N4)</f>
        <v>19.479397182659547</v>
      </c>
      <c r="Q18">
        <f>STDEV(N2,N4)</f>
        <v>0.3050883774570088</v>
      </c>
      <c r="R18">
        <f>Q18/SQRT(2)</f>
        <v>0.21573006056105193</v>
      </c>
    </row>
    <row r="19" spans="1:18" ht="12.75">
      <c r="A19" s="6"/>
      <c r="B19" s="27"/>
      <c r="E19" t="s">
        <v>23</v>
      </c>
      <c r="F19">
        <f>AVERAGE(O5:O7)</f>
        <v>92.43146438083454</v>
      </c>
      <c r="G19">
        <f>STDEV(O5:O7)</f>
        <v>0.2479480341910566</v>
      </c>
      <c r="H19">
        <f>(G19/F19)*100</f>
        <v>0.26825068265657387</v>
      </c>
      <c r="I19">
        <f>AVERAGE(Q5:Q7)</f>
        <v>7.608878786362677</v>
      </c>
      <c r="J19">
        <f>STDEV(Q5:Q7)</f>
        <v>0.013491555673136132</v>
      </c>
      <c r="K19">
        <f>100*(J19/I19)</f>
        <v>0.17731332108111542</v>
      </c>
      <c r="L19">
        <f>AVERAGE(M5:M7)</f>
        <v>0.4770372417272824</v>
      </c>
      <c r="M19">
        <f>STDEV(M5:M7)</f>
        <v>0.07160662393622794</v>
      </c>
      <c r="N19" s="8">
        <f>100*(M19/L19)</f>
        <v>15.010698887355373</v>
      </c>
      <c r="O19">
        <f>M19/(SQRT(3))</f>
        <v>0.041342103605341504</v>
      </c>
      <c r="P19">
        <f>AVERAGE(N5:N7)</f>
        <v>4.770372417272824</v>
      </c>
      <c r="Q19">
        <f>STDEV(N5:N7)</f>
        <v>0.7160662393622792</v>
      </c>
      <c r="R19">
        <f>Q19/SQRT(3)</f>
        <v>0.4134210360534149</v>
      </c>
    </row>
    <row r="20" spans="1:18" ht="12.75">
      <c r="A20" s="6"/>
      <c r="B20" s="27"/>
      <c r="E20" t="s">
        <v>259</v>
      </c>
      <c r="F20">
        <f>AVERAGE(O8:O10)</f>
        <v>95.50063092009673</v>
      </c>
      <c r="G20">
        <f>STDEV(O8:O10)</f>
        <v>0.07674392698587987</v>
      </c>
      <c r="H20">
        <f>(G20/F20)*100</f>
        <v>0.08035960207434632</v>
      </c>
      <c r="I20">
        <f>AVERAGE(Q8:Q10)</f>
        <v>4.975118675623977</v>
      </c>
      <c r="J20">
        <f>STDEV(Q8:Q10)</f>
        <v>0.11506432387369374</v>
      </c>
      <c r="K20" s="13">
        <f>100*(J20/I20)</f>
        <v>2.3127955607865456</v>
      </c>
      <c r="L20">
        <f>AVERAGE(M8:M10)</f>
        <v>0.5817430126200296</v>
      </c>
      <c r="M20">
        <f>STDEV(M8:M10)</f>
        <v>0.005266778123206949</v>
      </c>
      <c r="N20" s="13">
        <f>100*(M20/L20)</f>
        <v>0.9053444577678134</v>
      </c>
      <c r="O20">
        <f>M20/(SQRT(3))</f>
        <v>0.003040775767195564</v>
      </c>
      <c r="P20">
        <f>AVERAGE(N8:N10)</f>
        <v>5.817430126200296</v>
      </c>
      <c r="Q20">
        <f>STDEV(N8:N10)</f>
        <v>0.05266778123206949</v>
      </c>
      <c r="R20">
        <f>Q20/SQRT(3)</f>
        <v>0.030407757671955644</v>
      </c>
    </row>
    <row r="21" spans="1:18" ht="12.75">
      <c r="A21" s="6"/>
      <c r="B21" s="27"/>
      <c r="E21" t="s">
        <v>130</v>
      </c>
      <c r="F21">
        <f>AVERAGE(O11:O13)</f>
        <v>98.53575051783814</v>
      </c>
      <c r="G21">
        <f>STDEV(O11:O13)</f>
        <v>0.08085977355469576</v>
      </c>
      <c r="H21">
        <f>(G21/F21)*100</f>
        <v>0.08206135654293062</v>
      </c>
      <c r="I21">
        <f>AVERAGE(Q11:Q13)</f>
        <v>9.617721667885275</v>
      </c>
      <c r="J21">
        <f>STDEV(Q11:Q13)</f>
        <v>0.007662406619259896</v>
      </c>
      <c r="K21">
        <f>100*(J21/I21)</f>
        <v>0.07966966485259798</v>
      </c>
      <c r="L21">
        <f>AVERAGE(M11:M13)</f>
        <v>0.5152129622804574</v>
      </c>
      <c r="M21">
        <f>STDEV(M11:M13)</f>
        <v>0.07851711364909018</v>
      </c>
      <c r="N21" s="8">
        <f>100*(M21/L21)</f>
        <v>15.23973956353008</v>
      </c>
      <c r="O21">
        <f>M21/(SQRT(3))</f>
        <v>0.04533187670129466</v>
      </c>
      <c r="P21">
        <f>AVERAGE(N11:N13)</f>
        <v>5.152129622804575</v>
      </c>
      <c r="Q21">
        <f>STDEV(N11:N13)</f>
        <v>0.7851711364909018</v>
      </c>
      <c r="R21">
        <f>Q21/SQRT(3)</f>
        <v>0.45331876701294654</v>
      </c>
    </row>
    <row r="22" spans="1:2" ht="12.75">
      <c r="A22" s="6"/>
      <c r="B22" s="27"/>
    </row>
    <row r="23" spans="1:2" ht="12.75">
      <c r="A23" s="6"/>
      <c r="B23" s="27"/>
    </row>
    <row r="24" spans="1:3" ht="12.75">
      <c r="A24" s="6"/>
      <c r="B24" s="27"/>
      <c r="C24" s="29"/>
    </row>
    <row r="25" spans="1:2" ht="12.75">
      <c r="A25" s="6"/>
      <c r="B25" s="27"/>
    </row>
    <row r="26" spans="1:2" ht="12.75">
      <c r="A26" s="6"/>
      <c r="B26" s="27"/>
    </row>
    <row r="27" spans="1:2" ht="12.75">
      <c r="A27" s="6"/>
      <c r="B27" s="27"/>
    </row>
    <row r="28" spans="1:2" ht="12.75">
      <c r="A28" s="6"/>
      <c r="B28" s="27"/>
    </row>
    <row r="29" spans="1:2" ht="12.75">
      <c r="A29" s="6"/>
      <c r="B29" s="27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39" sqref="F39"/>
    </sheetView>
  </sheetViews>
  <sheetFormatPr defaultColWidth="11.00390625" defaultRowHeight="12.75"/>
  <cols>
    <col min="1" max="1" width="10.125" style="0" bestFit="1" customWidth="1"/>
    <col min="2" max="2" width="5.875" style="0" bestFit="1" customWidth="1"/>
    <col min="3" max="3" width="5.00390625" style="0" bestFit="1" customWidth="1"/>
    <col min="4" max="4" width="7.875" style="0" bestFit="1" customWidth="1"/>
    <col min="5" max="5" width="18.375" style="3" bestFit="1" customWidth="1"/>
    <col min="6" max="6" width="14.625" style="0" bestFit="1" customWidth="1"/>
    <col min="7" max="7" width="15.875" style="0" bestFit="1" customWidth="1"/>
    <col min="8" max="8" width="24.375" style="0" bestFit="1" customWidth="1"/>
    <col min="9" max="9" width="15.375" style="0" bestFit="1" customWidth="1"/>
    <col min="10" max="10" width="16.875" style="0" bestFit="1" customWidth="1"/>
    <col min="11" max="11" width="12.125" style="0" bestFit="1" customWidth="1"/>
    <col min="12" max="12" width="17.875" style="0" bestFit="1" customWidth="1"/>
    <col min="13" max="13" width="16.625" style="0" bestFit="1" customWidth="1"/>
    <col min="14" max="15" width="12.125" style="0" bestFit="1" customWidth="1"/>
    <col min="16" max="16" width="14.875" style="0" bestFit="1" customWidth="1"/>
    <col min="17" max="17" width="14.00390625" style="0" bestFit="1" customWidth="1"/>
    <col min="18" max="19" width="12.125" style="0" bestFit="1" customWidth="1"/>
    <col min="20" max="20" width="14.00390625" style="0" bestFit="1" customWidth="1"/>
    <col min="21" max="21" width="7.125" style="0" bestFit="1" customWidth="1"/>
  </cols>
  <sheetData>
    <row r="1" spans="1:20" s="9" customFormat="1" ht="12.75">
      <c r="A1" s="9" t="s">
        <v>68</v>
      </c>
      <c r="B1" s="9" t="s">
        <v>69</v>
      </c>
      <c r="C1" s="9" t="s">
        <v>70</v>
      </c>
      <c r="D1" s="9" t="s">
        <v>91</v>
      </c>
      <c r="E1" s="12" t="s">
        <v>63</v>
      </c>
      <c r="F1" s="9" t="s">
        <v>72</v>
      </c>
      <c r="G1" s="9" t="s">
        <v>208</v>
      </c>
      <c r="H1" s="9" t="s">
        <v>209</v>
      </c>
      <c r="I1" s="9" t="s">
        <v>284</v>
      </c>
      <c r="J1" s="9" t="s">
        <v>215</v>
      </c>
      <c r="K1" s="9" t="s">
        <v>216</v>
      </c>
      <c r="L1" s="9" t="s">
        <v>290</v>
      </c>
      <c r="M1" s="9" t="s">
        <v>211</v>
      </c>
      <c r="N1" s="9" t="s">
        <v>212</v>
      </c>
      <c r="O1" s="14" t="s">
        <v>265</v>
      </c>
      <c r="P1" s="9" t="s">
        <v>213</v>
      </c>
      <c r="Q1" s="9" t="s">
        <v>214</v>
      </c>
      <c r="R1" s="9" t="s">
        <v>152</v>
      </c>
      <c r="S1" s="9" t="s">
        <v>153</v>
      </c>
      <c r="T1" s="9" t="s">
        <v>154</v>
      </c>
    </row>
    <row r="2" spans="1:20" ht="12.75">
      <c r="A2">
        <v>1</v>
      </c>
      <c r="B2" t="s">
        <v>345</v>
      </c>
      <c r="C2" t="s">
        <v>167</v>
      </c>
      <c r="D2">
        <v>1</v>
      </c>
      <c r="E2" s="3">
        <v>2</v>
      </c>
      <c r="F2">
        <v>42.6015</v>
      </c>
      <c r="G2">
        <v>0.8809</v>
      </c>
      <c r="H2">
        <v>43.4087</v>
      </c>
      <c r="I2">
        <f aca="true" t="shared" si="0" ref="I2:I37">H2-F2</f>
        <v>0.8072000000000017</v>
      </c>
      <c r="J2">
        <v>42.7717</v>
      </c>
      <c r="K2">
        <f aca="true" t="shared" si="1" ref="K2:K37">J2-F2</f>
        <v>0.17020000000000124</v>
      </c>
      <c r="L2">
        <v>250</v>
      </c>
      <c r="M2">
        <v>42.6665</v>
      </c>
      <c r="N2">
        <f aca="true" t="shared" si="2" ref="N2:N37">M2-F2</f>
        <v>0.06499999999999773</v>
      </c>
      <c r="O2" s="27">
        <v>15.02170430272725</v>
      </c>
      <c r="P2">
        <f>((O2*L2)/10000)/I2</f>
        <v>0.46524108965334543</v>
      </c>
      <c r="Q2">
        <f>(I2/G2)*100</f>
        <v>91.63355658985148</v>
      </c>
      <c r="R2">
        <f>((G2-I2)/I2)*100</f>
        <v>9.130327056491348</v>
      </c>
      <c r="S2">
        <f>(K2/I2)*100</f>
        <v>21.08523290386532</v>
      </c>
      <c r="T2">
        <f>(N2/I2)*100</f>
        <v>8.052527254707332</v>
      </c>
    </row>
    <row r="3" spans="1:20" ht="12.75">
      <c r="A3">
        <v>2</v>
      </c>
      <c r="B3" t="s">
        <v>345</v>
      </c>
      <c r="C3" t="s">
        <v>167</v>
      </c>
      <c r="D3">
        <v>1</v>
      </c>
      <c r="E3" s="3">
        <v>8</v>
      </c>
      <c r="F3">
        <v>37.4871</v>
      </c>
      <c r="G3">
        <v>0.8688</v>
      </c>
      <c r="H3">
        <v>38.2725</v>
      </c>
      <c r="I3">
        <f t="shared" si="0"/>
        <v>0.7854000000000028</v>
      </c>
      <c r="J3">
        <v>37.6482</v>
      </c>
      <c r="K3">
        <f t="shared" si="1"/>
        <v>0.16110000000000468</v>
      </c>
      <c r="L3">
        <v>250</v>
      </c>
      <c r="M3">
        <v>37.5488</v>
      </c>
      <c r="N3">
        <f t="shared" si="2"/>
        <v>0.061700000000001864</v>
      </c>
      <c r="O3" s="27">
        <v>26.89897360437525</v>
      </c>
      <c r="P3">
        <f aca="true" t="shared" si="3" ref="P3:P37">((O3*L3)/10000)/I3</f>
        <v>0.8562189204346561</v>
      </c>
      <c r="Q3">
        <f aca="true" t="shared" si="4" ref="Q3:Q37">(I3/G3)*100</f>
        <v>90.40055248618816</v>
      </c>
      <c r="R3">
        <f aca="true" t="shared" si="5" ref="R3:R37">((G3-I3)/I3)*100</f>
        <v>10.618792971733761</v>
      </c>
      <c r="S3">
        <f aca="true" t="shared" si="6" ref="S3:S37">(K3/I3)*100</f>
        <v>20.511841100076918</v>
      </c>
      <c r="T3">
        <f aca="true" t="shared" si="7" ref="T3:T37">(N3/I3)*100</f>
        <v>7.855869620575713</v>
      </c>
    </row>
    <row r="4" spans="1:20" ht="12.75">
      <c r="A4">
        <v>3</v>
      </c>
      <c r="B4" t="s">
        <v>345</v>
      </c>
      <c r="C4" t="s">
        <v>167</v>
      </c>
      <c r="D4">
        <v>1</v>
      </c>
      <c r="E4" s="3">
        <v>16</v>
      </c>
      <c r="F4">
        <v>42.3208</v>
      </c>
      <c r="G4">
        <v>0.9403</v>
      </c>
      <c r="H4">
        <v>43.1701</v>
      </c>
      <c r="I4">
        <f t="shared" si="0"/>
        <v>0.8492999999999995</v>
      </c>
      <c r="J4">
        <v>42.4952</v>
      </c>
      <c r="K4">
        <f t="shared" si="1"/>
        <v>0.17439999999999856</v>
      </c>
      <c r="L4">
        <v>250</v>
      </c>
      <c r="M4">
        <v>42.3943</v>
      </c>
      <c r="N4">
        <f t="shared" si="2"/>
        <v>0.07350000000000279</v>
      </c>
      <c r="O4" s="27">
        <v>22.810333099869958</v>
      </c>
      <c r="P4">
        <f t="shared" si="3"/>
        <v>0.6714451047883542</v>
      </c>
      <c r="Q4">
        <f t="shared" si="4"/>
        <v>90.32223758374981</v>
      </c>
      <c r="R4">
        <f t="shared" si="5"/>
        <v>10.714706228658963</v>
      </c>
      <c r="S4">
        <f t="shared" si="6"/>
        <v>20.534557871187882</v>
      </c>
      <c r="T4">
        <f t="shared" si="7"/>
        <v>8.65418580007098</v>
      </c>
    </row>
    <row r="5" spans="1:20" ht="12.75">
      <c r="A5">
        <v>4</v>
      </c>
      <c r="B5" t="s">
        <v>345</v>
      </c>
      <c r="C5" t="s">
        <v>224</v>
      </c>
      <c r="D5">
        <v>2</v>
      </c>
      <c r="E5" s="3">
        <v>4</v>
      </c>
      <c r="F5">
        <v>44.3785</v>
      </c>
      <c r="G5">
        <v>0.899</v>
      </c>
      <c r="H5">
        <v>45.1723</v>
      </c>
      <c r="I5">
        <f t="shared" si="0"/>
        <v>0.7937999999999974</v>
      </c>
      <c r="J5">
        <v>44.5858</v>
      </c>
      <c r="K5">
        <f t="shared" si="1"/>
        <v>0.2072999999999965</v>
      </c>
      <c r="L5">
        <v>250</v>
      </c>
      <c r="M5">
        <v>44.4616</v>
      </c>
      <c r="N5">
        <f t="shared" si="2"/>
        <v>0.08309999999999462</v>
      </c>
      <c r="O5" s="27">
        <v>37.83346497354624</v>
      </c>
      <c r="P5">
        <f t="shared" si="3"/>
        <v>1.1915301390005786</v>
      </c>
      <c r="Q5">
        <f t="shared" si="4"/>
        <v>88.29810901001083</v>
      </c>
      <c r="R5">
        <f t="shared" si="5"/>
        <v>13.252708490804102</v>
      </c>
      <c r="S5">
        <f t="shared" si="6"/>
        <v>26.11489040060433</v>
      </c>
      <c r="T5">
        <f t="shared" si="7"/>
        <v>10.468631897202682</v>
      </c>
    </row>
    <row r="6" spans="1:20" ht="12.75">
      <c r="A6">
        <v>5</v>
      </c>
      <c r="B6" t="s">
        <v>345</v>
      </c>
      <c r="C6" t="s">
        <v>225</v>
      </c>
      <c r="D6">
        <v>2</v>
      </c>
      <c r="E6" s="3" t="s">
        <v>65</v>
      </c>
      <c r="F6">
        <v>42.981</v>
      </c>
      <c r="G6">
        <v>1.0345</v>
      </c>
      <c r="H6">
        <v>43.8932</v>
      </c>
      <c r="I6">
        <f t="shared" si="0"/>
        <v>0.9121999999999986</v>
      </c>
      <c r="J6">
        <v>43.2288</v>
      </c>
      <c r="K6">
        <f t="shared" si="1"/>
        <v>0.24779999999999802</v>
      </c>
      <c r="L6">
        <v>250</v>
      </c>
      <c r="M6">
        <v>43.0818</v>
      </c>
      <c r="N6">
        <f t="shared" si="2"/>
        <v>0.10079999999999956</v>
      </c>
      <c r="O6">
        <v>39.21541881931073</v>
      </c>
      <c r="P6">
        <f>((O6*L6)/10000)/I6</f>
        <v>1.0747483780780198</v>
      </c>
      <c r="Q6">
        <f t="shared" si="4"/>
        <v>88.1778637022715</v>
      </c>
      <c r="R6">
        <f t="shared" si="5"/>
        <v>13.407147555360844</v>
      </c>
      <c r="S6">
        <f t="shared" si="6"/>
        <v>27.16509537382136</v>
      </c>
      <c r="T6">
        <f t="shared" si="7"/>
        <v>11.050208287656185</v>
      </c>
    </row>
    <row r="7" spans="1:20" ht="12.75">
      <c r="A7">
        <v>6</v>
      </c>
      <c r="B7" t="s">
        <v>345</v>
      </c>
      <c r="C7" t="s">
        <v>226</v>
      </c>
      <c r="D7">
        <v>2</v>
      </c>
      <c r="E7" s="3" t="s">
        <v>64</v>
      </c>
      <c r="F7">
        <v>42.0373</v>
      </c>
      <c r="G7">
        <v>0.9604</v>
      </c>
      <c r="H7">
        <v>42.8861</v>
      </c>
      <c r="I7">
        <f t="shared" si="0"/>
        <v>0.8487999999999971</v>
      </c>
      <c r="J7">
        <v>42.2607</v>
      </c>
      <c r="K7">
        <f t="shared" si="1"/>
        <v>0.22339999999999804</v>
      </c>
      <c r="L7">
        <v>250</v>
      </c>
      <c r="M7">
        <v>42.1228</v>
      </c>
      <c r="N7">
        <f t="shared" si="2"/>
        <v>0.08549999999999613</v>
      </c>
      <c r="O7" s="27">
        <v>43.359637764669</v>
      </c>
      <c r="P7">
        <f>((O7*L7)/10000)/I7</f>
        <v>1.27708640918559</v>
      </c>
      <c r="Q7">
        <f t="shared" si="4"/>
        <v>88.37984173261111</v>
      </c>
      <c r="R7">
        <f t="shared" si="5"/>
        <v>13.147973609802463</v>
      </c>
      <c r="S7">
        <f t="shared" si="6"/>
        <v>26.319509896324085</v>
      </c>
      <c r="T7">
        <f t="shared" si="7"/>
        <v>10.073044297831812</v>
      </c>
    </row>
    <row r="8" spans="1:20" ht="12.75">
      <c r="A8">
        <v>7</v>
      </c>
      <c r="B8" t="s">
        <v>345</v>
      </c>
      <c r="C8" t="s">
        <v>227</v>
      </c>
      <c r="D8">
        <v>3</v>
      </c>
      <c r="E8" s="3" t="s">
        <v>253</v>
      </c>
      <c r="F8">
        <v>43.4143</v>
      </c>
      <c r="G8">
        <v>0.9094</v>
      </c>
      <c r="H8">
        <v>44.2743</v>
      </c>
      <c r="I8">
        <f t="shared" si="0"/>
        <v>0.8599999999999994</v>
      </c>
      <c r="J8">
        <v>43.5975</v>
      </c>
      <c r="K8">
        <f t="shared" si="1"/>
        <v>0.18319999999999936</v>
      </c>
      <c r="L8">
        <v>250</v>
      </c>
      <c r="M8">
        <v>43.4854</v>
      </c>
      <c r="N8">
        <f t="shared" si="2"/>
        <v>0.07110000000000127</v>
      </c>
      <c r="O8">
        <v>37.63601503335232</v>
      </c>
      <c r="P8">
        <f t="shared" si="3"/>
        <v>1.0940702044579171</v>
      </c>
      <c r="Q8">
        <f t="shared" si="4"/>
        <v>94.56784693204304</v>
      </c>
      <c r="R8">
        <f t="shared" si="5"/>
        <v>5.744186046511697</v>
      </c>
      <c r="S8">
        <f t="shared" si="6"/>
        <v>21.30232558139529</v>
      </c>
      <c r="T8">
        <f t="shared" si="7"/>
        <v>8.26744186046527</v>
      </c>
    </row>
    <row r="9" spans="1:20" ht="12.75">
      <c r="A9">
        <v>8</v>
      </c>
      <c r="B9" t="s">
        <v>345</v>
      </c>
      <c r="C9" t="s">
        <v>227</v>
      </c>
      <c r="D9">
        <v>3</v>
      </c>
      <c r="E9" s="3" t="s">
        <v>250</v>
      </c>
      <c r="F9">
        <v>41.6109</v>
      </c>
      <c r="G9">
        <v>1.0139</v>
      </c>
      <c r="H9">
        <v>42.5562</v>
      </c>
      <c r="I9">
        <f t="shared" si="0"/>
        <v>0.945299999999996</v>
      </c>
      <c r="J9">
        <v>41.8074</v>
      </c>
      <c r="K9">
        <f t="shared" si="1"/>
        <v>0.19650000000000034</v>
      </c>
      <c r="L9">
        <v>250</v>
      </c>
      <c r="M9">
        <v>41.6959</v>
      </c>
      <c r="N9">
        <f t="shared" si="2"/>
        <v>0.08500000000000085</v>
      </c>
      <c r="O9" s="27">
        <v>32.434367128969896</v>
      </c>
      <c r="P9">
        <f t="shared" si="3"/>
        <v>0.8577797294237288</v>
      </c>
      <c r="Q9">
        <f t="shared" si="4"/>
        <v>93.23404675017221</v>
      </c>
      <c r="R9">
        <f t="shared" si="5"/>
        <v>7.256955463874355</v>
      </c>
      <c r="S9">
        <f t="shared" si="6"/>
        <v>20.78705172960977</v>
      </c>
      <c r="T9">
        <f t="shared" si="7"/>
        <v>8.99185443774476</v>
      </c>
    </row>
    <row r="10" spans="1:20" ht="12.75">
      <c r="A10">
        <v>9</v>
      </c>
      <c r="B10" t="s">
        <v>345</v>
      </c>
      <c r="C10" t="s">
        <v>227</v>
      </c>
      <c r="D10">
        <v>3</v>
      </c>
      <c r="E10" s="3" t="s">
        <v>319</v>
      </c>
      <c r="F10">
        <v>43.6161</v>
      </c>
      <c r="G10">
        <v>1.0048</v>
      </c>
      <c r="H10">
        <v>44.5647</v>
      </c>
      <c r="I10">
        <f t="shared" si="0"/>
        <v>0.948599999999999</v>
      </c>
      <c r="J10">
        <v>43.8205</v>
      </c>
      <c r="K10">
        <f t="shared" si="1"/>
        <v>0.2043999999999997</v>
      </c>
      <c r="L10">
        <v>250</v>
      </c>
      <c r="M10">
        <v>43.696</v>
      </c>
      <c r="N10">
        <f t="shared" si="2"/>
        <v>0.07989999999999498</v>
      </c>
      <c r="O10" s="27">
        <v>34.67355705018816</v>
      </c>
      <c r="P10">
        <f t="shared" si="3"/>
        <v>0.9138086930789636</v>
      </c>
      <c r="Q10">
        <f t="shared" si="4"/>
        <v>94.40684713375786</v>
      </c>
      <c r="R10">
        <f t="shared" si="5"/>
        <v>5.92452034577282</v>
      </c>
      <c r="S10">
        <f t="shared" si="6"/>
        <v>21.54754374868226</v>
      </c>
      <c r="T10">
        <f t="shared" si="7"/>
        <v>8.422939068099836</v>
      </c>
    </row>
    <row r="11" spans="1:20" ht="12.75">
      <c r="A11">
        <v>10</v>
      </c>
      <c r="B11" t="s">
        <v>345</v>
      </c>
      <c r="C11" t="s">
        <v>226</v>
      </c>
      <c r="D11">
        <v>4</v>
      </c>
      <c r="E11" s="3" t="s">
        <v>251</v>
      </c>
      <c r="F11">
        <v>43.3741</v>
      </c>
      <c r="G11">
        <v>0.926</v>
      </c>
      <c r="H11">
        <v>44.2607</v>
      </c>
      <c r="I11">
        <f t="shared" si="0"/>
        <v>0.8866000000000014</v>
      </c>
      <c r="J11">
        <v>43.5858</v>
      </c>
      <c r="K11">
        <f t="shared" si="1"/>
        <v>0.21170000000000044</v>
      </c>
      <c r="L11">
        <v>250</v>
      </c>
      <c r="M11">
        <v>43.4784</v>
      </c>
      <c r="N11">
        <f t="shared" si="2"/>
        <v>0.10430000000000206</v>
      </c>
      <c r="O11" s="27">
        <v>39.80763374103789</v>
      </c>
      <c r="P11">
        <f t="shared" si="3"/>
        <v>1.122480085186043</v>
      </c>
      <c r="Q11">
        <f t="shared" si="4"/>
        <v>95.74514038876904</v>
      </c>
      <c r="R11">
        <f t="shared" si="5"/>
        <v>4.443943153620414</v>
      </c>
      <c r="S11">
        <f t="shared" si="6"/>
        <v>23.87773516805776</v>
      </c>
      <c r="T11">
        <f t="shared" si="7"/>
        <v>11.764042409203913</v>
      </c>
    </row>
    <row r="12" spans="1:20" ht="12.75">
      <c r="A12">
        <v>11</v>
      </c>
      <c r="B12" t="s">
        <v>345</v>
      </c>
      <c r="C12" t="s">
        <v>224</v>
      </c>
      <c r="D12">
        <v>4</v>
      </c>
      <c r="E12" s="3" t="s">
        <v>191</v>
      </c>
      <c r="F12">
        <v>38.8239</v>
      </c>
      <c r="G12">
        <v>0.9621</v>
      </c>
      <c r="H12">
        <v>39.7415</v>
      </c>
      <c r="I12">
        <f t="shared" si="0"/>
        <v>0.9176000000000002</v>
      </c>
      <c r="J12">
        <v>39.0534</v>
      </c>
      <c r="K12">
        <f t="shared" si="1"/>
        <v>0.2295000000000016</v>
      </c>
      <c r="L12">
        <v>250</v>
      </c>
      <c r="M12">
        <v>38.9355</v>
      </c>
      <c r="N12">
        <f t="shared" si="2"/>
        <v>0.1115999999999957</v>
      </c>
      <c r="O12" s="27">
        <v>30.853302235547257</v>
      </c>
      <c r="P12">
        <f t="shared" si="3"/>
        <v>0.8405978159205332</v>
      </c>
      <c r="Q12">
        <f t="shared" si="4"/>
        <v>95.37470117451412</v>
      </c>
      <c r="R12">
        <f t="shared" si="5"/>
        <v>4.849607672188291</v>
      </c>
      <c r="S12">
        <f t="shared" si="6"/>
        <v>25.01089799476913</v>
      </c>
      <c r="T12">
        <f t="shared" si="7"/>
        <v>12.16216216216169</v>
      </c>
    </row>
    <row r="13" spans="1:20" ht="12.75">
      <c r="A13">
        <v>12</v>
      </c>
      <c r="B13" t="s">
        <v>345</v>
      </c>
      <c r="C13" t="s">
        <v>226</v>
      </c>
      <c r="D13">
        <v>4</v>
      </c>
      <c r="E13" s="3" t="s">
        <v>252</v>
      </c>
      <c r="F13">
        <v>33.4013</v>
      </c>
      <c r="G13">
        <v>1.0018</v>
      </c>
      <c r="H13">
        <v>34.3578</v>
      </c>
      <c r="I13">
        <f t="shared" si="0"/>
        <v>0.9564999999999984</v>
      </c>
      <c r="J13">
        <v>33.6356</v>
      </c>
      <c r="K13">
        <f t="shared" si="1"/>
        <v>0.2342999999999975</v>
      </c>
      <c r="L13">
        <v>250</v>
      </c>
      <c r="M13">
        <v>33.511</v>
      </c>
      <c r="N13">
        <f t="shared" si="2"/>
        <v>0.10970000000000368</v>
      </c>
      <c r="O13" s="27">
        <v>48.355487870327046</v>
      </c>
      <c r="P13">
        <f t="shared" si="3"/>
        <v>1.2638653390048908</v>
      </c>
      <c r="Q13">
        <f t="shared" si="4"/>
        <v>95.47813934917131</v>
      </c>
      <c r="R13">
        <f t="shared" si="5"/>
        <v>4.736016727653084</v>
      </c>
      <c r="S13">
        <f t="shared" si="6"/>
        <v>24.4955567171979</v>
      </c>
      <c r="T13">
        <f t="shared" si="7"/>
        <v>11.468897020387232</v>
      </c>
    </row>
    <row r="14" spans="1:20" ht="12.75">
      <c r="A14">
        <v>13</v>
      </c>
      <c r="B14" t="s">
        <v>345</v>
      </c>
      <c r="C14" t="s">
        <v>228</v>
      </c>
      <c r="D14">
        <v>5</v>
      </c>
      <c r="E14" s="3" t="s">
        <v>256</v>
      </c>
      <c r="F14">
        <v>40.1116</v>
      </c>
      <c r="G14">
        <v>0.9974</v>
      </c>
      <c r="H14">
        <v>41.0296</v>
      </c>
      <c r="I14">
        <f t="shared" si="0"/>
        <v>0.9179999999999993</v>
      </c>
      <c r="J14">
        <v>40.3041</v>
      </c>
      <c r="K14">
        <f t="shared" si="1"/>
        <v>0.19249999999999545</v>
      </c>
      <c r="L14">
        <v>250</v>
      </c>
      <c r="M14">
        <v>40.185</v>
      </c>
      <c r="N14">
        <f t="shared" si="2"/>
        <v>0.07339999999999947</v>
      </c>
      <c r="O14" s="27">
        <v>26.63526705321189</v>
      </c>
      <c r="P14">
        <f t="shared" si="3"/>
        <v>0.7253613031920455</v>
      </c>
      <c r="Q14">
        <f t="shared" si="4"/>
        <v>92.0393021856827</v>
      </c>
      <c r="R14">
        <f t="shared" si="5"/>
        <v>8.649237472766966</v>
      </c>
      <c r="S14">
        <f t="shared" si="6"/>
        <v>20.969498910674904</v>
      </c>
      <c r="T14">
        <f t="shared" si="7"/>
        <v>7.995642701525002</v>
      </c>
    </row>
    <row r="15" spans="1:20" ht="12.75">
      <c r="A15">
        <v>14</v>
      </c>
      <c r="B15" t="s">
        <v>345</v>
      </c>
      <c r="C15" t="s">
        <v>157</v>
      </c>
      <c r="D15">
        <v>5</v>
      </c>
      <c r="E15" s="3" t="s">
        <v>257</v>
      </c>
      <c r="F15">
        <v>36.619</v>
      </c>
      <c r="G15">
        <v>0.9544</v>
      </c>
      <c r="H15">
        <v>37.4964</v>
      </c>
      <c r="I15">
        <f t="shared" si="0"/>
        <v>0.8774000000000015</v>
      </c>
      <c r="J15">
        <v>36.7998</v>
      </c>
      <c r="K15">
        <f t="shared" si="1"/>
        <v>0.18079999999999785</v>
      </c>
      <c r="L15">
        <v>250</v>
      </c>
      <c r="M15">
        <v>36.689</v>
      </c>
      <c r="N15">
        <f t="shared" si="2"/>
        <v>0.07000000000000028</v>
      </c>
      <c r="O15" s="27">
        <v>24.39333418861716</v>
      </c>
      <c r="P15">
        <f t="shared" si="3"/>
        <v>0.695045993521117</v>
      </c>
      <c r="Q15">
        <f t="shared" si="4"/>
        <v>91.9321039396481</v>
      </c>
      <c r="R15">
        <f t="shared" si="5"/>
        <v>8.775928880783951</v>
      </c>
      <c r="S15">
        <f t="shared" si="6"/>
        <v>20.60633690449026</v>
      </c>
      <c r="T15">
        <f t="shared" si="7"/>
        <v>7.978117164349233</v>
      </c>
    </row>
    <row r="16" spans="1:20" ht="12.75">
      <c r="A16">
        <v>15</v>
      </c>
      <c r="B16" t="s">
        <v>345</v>
      </c>
      <c r="C16" t="s">
        <v>228</v>
      </c>
      <c r="D16">
        <v>5</v>
      </c>
      <c r="E16" s="3" t="s">
        <v>254</v>
      </c>
      <c r="F16">
        <v>41.4166</v>
      </c>
      <c r="G16">
        <v>1.1142</v>
      </c>
      <c r="H16">
        <v>42.4428</v>
      </c>
      <c r="I16">
        <f t="shared" si="0"/>
        <v>1.0261999999999958</v>
      </c>
      <c r="J16">
        <v>41.6308</v>
      </c>
      <c r="K16">
        <f t="shared" si="1"/>
        <v>0.21419999999999817</v>
      </c>
      <c r="L16">
        <v>250</v>
      </c>
      <c r="M16">
        <v>41.5037</v>
      </c>
      <c r="N16">
        <f t="shared" si="2"/>
        <v>0.08709999999999951</v>
      </c>
      <c r="O16" s="28">
        <v>25.65118404105</v>
      </c>
      <c r="P16">
        <f t="shared" si="3"/>
        <v>0.6249070366656136</v>
      </c>
      <c r="Q16">
        <f t="shared" si="4"/>
        <v>92.1019565607607</v>
      </c>
      <c r="R16">
        <f t="shared" si="5"/>
        <v>8.575326447086793</v>
      </c>
      <c r="S16">
        <f t="shared" si="6"/>
        <v>20.87312414733961</v>
      </c>
      <c r="T16">
        <f t="shared" si="7"/>
        <v>8.487624244786579</v>
      </c>
    </row>
    <row r="17" spans="1:20" ht="12.75">
      <c r="A17">
        <v>16</v>
      </c>
      <c r="B17" t="s">
        <v>345</v>
      </c>
      <c r="C17" t="s">
        <v>227</v>
      </c>
      <c r="D17">
        <v>6</v>
      </c>
      <c r="E17" s="3">
        <v>29</v>
      </c>
      <c r="F17">
        <v>40.1977</v>
      </c>
      <c r="G17">
        <v>0.9463</v>
      </c>
      <c r="H17">
        <v>41.117</v>
      </c>
      <c r="I17">
        <f t="shared" si="0"/>
        <v>0.9192999999999998</v>
      </c>
      <c r="J17">
        <v>40.3618</v>
      </c>
      <c r="K17">
        <f t="shared" si="1"/>
        <v>0.1641000000000048</v>
      </c>
      <c r="L17">
        <v>250</v>
      </c>
      <c r="M17">
        <v>40.2676</v>
      </c>
      <c r="N17">
        <f t="shared" si="2"/>
        <v>0.06990000000000407</v>
      </c>
      <c r="O17" s="27">
        <v>24.920916575781</v>
      </c>
      <c r="P17">
        <f t="shared" si="3"/>
        <v>0.6777144723099371</v>
      </c>
      <c r="Q17">
        <f t="shared" si="4"/>
        <v>97.1467822043749</v>
      </c>
      <c r="R17">
        <f t="shared" si="5"/>
        <v>2.937017295768547</v>
      </c>
      <c r="S17">
        <f t="shared" si="6"/>
        <v>17.850538453171417</v>
      </c>
      <c r="T17">
        <f t="shared" si="7"/>
        <v>7.603611443490056</v>
      </c>
    </row>
    <row r="18" spans="1:20" ht="12.75">
      <c r="A18">
        <v>17</v>
      </c>
      <c r="B18" t="s">
        <v>345</v>
      </c>
      <c r="C18" t="s">
        <v>158</v>
      </c>
      <c r="D18">
        <v>6</v>
      </c>
      <c r="E18" s="3">
        <v>2</v>
      </c>
      <c r="F18">
        <v>42.5363</v>
      </c>
      <c r="G18">
        <v>1.0365</v>
      </c>
      <c r="H18">
        <v>43.5408</v>
      </c>
      <c r="I18">
        <f t="shared" si="0"/>
        <v>1.0045000000000002</v>
      </c>
      <c r="J18">
        <v>42.7123</v>
      </c>
      <c r="K18">
        <f t="shared" si="1"/>
        <v>0.17600000000000193</v>
      </c>
      <c r="L18">
        <v>250</v>
      </c>
      <c r="M18">
        <v>42.6185</v>
      </c>
      <c r="N18">
        <f t="shared" si="2"/>
        <v>0.08220000000000027</v>
      </c>
      <c r="O18" s="27">
        <v>25.44845664173556</v>
      </c>
      <c r="P18">
        <f t="shared" si="3"/>
        <v>0.633361290237321</v>
      </c>
      <c r="Q18">
        <f t="shared" si="4"/>
        <v>96.91268692715873</v>
      </c>
      <c r="R18">
        <f t="shared" si="5"/>
        <v>3.185664509706302</v>
      </c>
      <c r="S18">
        <f t="shared" si="6"/>
        <v>17.52115480338496</v>
      </c>
      <c r="T18">
        <f t="shared" si="7"/>
        <v>8.18317570930814</v>
      </c>
    </row>
    <row r="19" spans="1:20" ht="12.75">
      <c r="A19">
        <v>18</v>
      </c>
      <c r="B19" t="s">
        <v>345</v>
      </c>
      <c r="C19" t="s">
        <v>158</v>
      </c>
      <c r="D19">
        <v>6</v>
      </c>
      <c r="E19" s="3">
        <v>10</v>
      </c>
      <c r="F19">
        <v>39.901</v>
      </c>
      <c r="G19">
        <v>0.9665</v>
      </c>
      <c r="H19">
        <v>40.8366</v>
      </c>
      <c r="I19">
        <f t="shared" si="0"/>
        <v>0.9355999999999938</v>
      </c>
      <c r="J19">
        <v>40.0712</v>
      </c>
      <c r="K19">
        <f t="shared" si="1"/>
        <v>0.17019999999999413</v>
      </c>
      <c r="L19">
        <v>250</v>
      </c>
      <c r="M19">
        <v>39.9738</v>
      </c>
      <c r="N19">
        <f t="shared" si="2"/>
        <v>0.07279999999999376</v>
      </c>
      <c r="O19" s="27">
        <v>32.03913661413456</v>
      </c>
      <c r="P19">
        <f t="shared" si="3"/>
        <v>0.8561120300912457</v>
      </c>
      <c r="Q19">
        <f t="shared" si="4"/>
        <v>96.80289705121507</v>
      </c>
      <c r="R19">
        <f t="shared" si="5"/>
        <v>3.302693458743743</v>
      </c>
      <c r="S19">
        <f t="shared" si="6"/>
        <v>18.1915348439499</v>
      </c>
      <c r="T19">
        <f t="shared" si="7"/>
        <v>7.781103035484635</v>
      </c>
    </row>
    <row r="20" spans="1:20" ht="12.75">
      <c r="A20">
        <v>19</v>
      </c>
      <c r="B20" t="s">
        <v>345</v>
      </c>
      <c r="C20" t="s">
        <v>224</v>
      </c>
      <c r="D20">
        <v>7</v>
      </c>
      <c r="E20" s="3">
        <v>21</v>
      </c>
      <c r="F20">
        <v>41.8623</v>
      </c>
      <c r="G20">
        <v>0.9596</v>
      </c>
      <c r="H20">
        <v>42.6639</v>
      </c>
      <c r="I20">
        <f t="shared" si="0"/>
        <v>0.8016000000000005</v>
      </c>
      <c r="J20">
        <v>42.08</v>
      </c>
      <c r="K20">
        <f t="shared" si="1"/>
        <v>0.21770000000000067</v>
      </c>
      <c r="L20">
        <v>250</v>
      </c>
      <c r="M20">
        <v>41.9589</v>
      </c>
      <c r="N20">
        <f t="shared" si="2"/>
        <v>0.09660000000000224</v>
      </c>
      <c r="O20" s="27">
        <v>43.359637764669</v>
      </c>
      <c r="P20">
        <f t="shared" si="3"/>
        <v>1.3522841119220612</v>
      </c>
      <c r="Q20">
        <f t="shared" si="4"/>
        <v>83.53480616923724</v>
      </c>
      <c r="R20">
        <f t="shared" si="5"/>
        <v>19.71057884231529</v>
      </c>
      <c r="S20">
        <f t="shared" si="6"/>
        <v>27.158183632734595</v>
      </c>
      <c r="T20">
        <f t="shared" si="7"/>
        <v>12.050898203593086</v>
      </c>
    </row>
    <row r="21" spans="1:20" ht="12.75">
      <c r="A21">
        <v>20</v>
      </c>
      <c r="B21" t="s">
        <v>345</v>
      </c>
      <c r="C21" t="s">
        <v>224</v>
      </c>
      <c r="D21">
        <v>7</v>
      </c>
      <c r="E21" s="3">
        <v>20</v>
      </c>
      <c r="F21">
        <v>46.2813</v>
      </c>
      <c r="G21">
        <v>1.1233</v>
      </c>
      <c r="H21">
        <v>47.254</v>
      </c>
      <c r="I21">
        <f t="shared" si="0"/>
        <v>0.9726999999999961</v>
      </c>
      <c r="J21">
        <v>46.5537</v>
      </c>
      <c r="K21">
        <f t="shared" si="1"/>
        <v>0.27239999999999753</v>
      </c>
      <c r="L21">
        <v>250</v>
      </c>
      <c r="M21">
        <v>46.4238</v>
      </c>
      <c r="N21">
        <f t="shared" si="2"/>
        <v>0.1424999999999983</v>
      </c>
      <c r="O21" s="27">
        <v>39.54444562468821</v>
      </c>
      <c r="P21">
        <f t="shared" si="3"/>
        <v>1.016357705990757</v>
      </c>
      <c r="Q21">
        <f t="shared" si="4"/>
        <v>86.59307397845599</v>
      </c>
      <c r="R21">
        <f t="shared" si="5"/>
        <v>15.482677084404692</v>
      </c>
      <c r="S21">
        <f t="shared" si="6"/>
        <v>28.0045234913127</v>
      </c>
      <c r="T21" s="41">
        <f t="shared" si="7"/>
        <v>14.649943456358471</v>
      </c>
    </row>
    <row r="22" spans="1:20" ht="12.75">
      <c r="A22">
        <v>21</v>
      </c>
      <c r="B22" t="s">
        <v>345</v>
      </c>
      <c r="C22" t="s">
        <v>226</v>
      </c>
      <c r="D22">
        <v>7</v>
      </c>
      <c r="E22" s="3">
        <v>33</v>
      </c>
      <c r="F22">
        <v>38.5763</v>
      </c>
      <c r="G22">
        <v>1.0576</v>
      </c>
      <c r="H22">
        <v>39.4624</v>
      </c>
      <c r="I22">
        <f t="shared" si="0"/>
        <v>0.886099999999999</v>
      </c>
      <c r="J22">
        <v>38.8204</v>
      </c>
      <c r="K22">
        <f t="shared" si="1"/>
        <v>0.244099999999996</v>
      </c>
      <c r="L22">
        <v>250</v>
      </c>
      <c r="M22">
        <v>38.6787</v>
      </c>
      <c r="N22">
        <f t="shared" si="2"/>
        <v>0.10239999999999583</v>
      </c>
      <c r="O22" s="27">
        <v>51.377436361127</v>
      </c>
      <c r="P22">
        <f t="shared" si="3"/>
        <v>1.449538324148715</v>
      </c>
      <c r="Q22">
        <f t="shared" si="4"/>
        <v>83.78403933434181</v>
      </c>
      <c r="R22">
        <f t="shared" si="5"/>
        <v>19.354474664259257</v>
      </c>
      <c r="S22">
        <f t="shared" si="6"/>
        <v>27.54768084866226</v>
      </c>
      <c r="T22" s="41">
        <f t="shared" si="7"/>
        <v>11.55625775871752</v>
      </c>
    </row>
    <row r="23" spans="1:20" ht="12.75">
      <c r="A23">
        <v>22</v>
      </c>
      <c r="B23" t="s">
        <v>345</v>
      </c>
      <c r="C23" t="s">
        <v>86</v>
      </c>
      <c r="D23">
        <v>8</v>
      </c>
      <c r="E23" s="3">
        <v>22</v>
      </c>
      <c r="F23">
        <v>42.0436</v>
      </c>
      <c r="G23">
        <v>1.06</v>
      </c>
      <c r="H23">
        <v>42.9824</v>
      </c>
      <c r="I23">
        <f t="shared" si="0"/>
        <v>0.9388000000000005</v>
      </c>
      <c r="J23">
        <v>42.2809</v>
      </c>
      <c r="K23">
        <f t="shared" si="1"/>
        <v>0.23730000000000473</v>
      </c>
      <c r="L23">
        <v>250</v>
      </c>
      <c r="M23">
        <v>42.1379</v>
      </c>
      <c r="N23">
        <f t="shared" si="2"/>
        <v>0.09430000000000405</v>
      </c>
      <c r="O23" s="27">
        <v>44.14871012966016</v>
      </c>
      <c r="P23" s="13">
        <f t="shared" si="3"/>
        <v>1.1756686762265696</v>
      </c>
      <c r="Q23">
        <f t="shared" si="4"/>
        <v>88.56603773584911</v>
      </c>
      <c r="R23">
        <f t="shared" si="5"/>
        <v>12.910097997443486</v>
      </c>
      <c r="S23">
        <f t="shared" si="6"/>
        <v>25.276949296975353</v>
      </c>
      <c r="T23" s="41">
        <f t="shared" si="7"/>
        <v>10.044737963357903</v>
      </c>
    </row>
    <row r="24" spans="1:20" ht="12.75">
      <c r="A24">
        <v>23</v>
      </c>
      <c r="B24" t="s">
        <v>345</v>
      </c>
      <c r="C24" t="s">
        <v>87</v>
      </c>
      <c r="D24">
        <v>8</v>
      </c>
      <c r="E24" s="3">
        <v>24</v>
      </c>
      <c r="F24">
        <v>38.6439</v>
      </c>
      <c r="G24">
        <v>0.9268</v>
      </c>
      <c r="H24">
        <v>39.4679</v>
      </c>
      <c r="I24">
        <f t="shared" si="0"/>
        <v>0.8239999999999981</v>
      </c>
      <c r="J24">
        <v>38.8469</v>
      </c>
      <c r="K24">
        <f t="shared" si="1"/>
        <v>0.20299999999999585</v>
      </c>
      <c r="L24">
        <v>250</v>
      </c>
      <c r="M24">
        <v>38.7346</v>
      </c>
      <c r="N24">
        <f t="shared" si="2"/>
        <v>0.09069999999999823</v>
      </c>
      <c r="O24" s="27">
        <v>36.780331617264</v>
      </c>
      <c r="P24" s="13">
        <f t="shared" si="3"/>
        <v>1.1159081194558278</v>
      </c>
      <c r="Q24">
        <f t="shared" si="4"/>
        <v>88.90807078118236</v>
      </c>
      <c r="R24">
        <f t="shared" si="5"/>
        <v>12.475728155340065</v>
      </c>
      <c r="S24">
        <f t="shared" si="6"/>
        <v>24.63592233009664</v>
      </c>
      <c r="T24">
        <f t="shared" si="7"/>
        <v>11.007281553397869</v>
      </c>
    </row>
    <row r="25" spans="1:20" ht="12.75">
      <c r="A25">
        <v>24</v>
      </c>
      <c r="B25" t="s">
        <v>345</v>
      </c>
      <c r="C25" t="s">
        <v>87</v>
      </c>
      <c r="D25">
        <v>8</v>
      </c>
      <c r="E25" s="3">
        <v>15</v>
      </c>
      <c r="F25">
        <v>45.6674</v>
      </c>
      <c r="G25">
        <v>0.9402</v>
      </c>
      <c r="H25">
        <v>46.5035</v>
      </c>
      <c r="I25">
        <f t="shared" si="0"/>
        <v>0.8361000000000018</v>
      </c>
      <c r="J25">
        <v>45.8686</v>
      </c>
      <c r="K25">
        <f t="shared" si="1"/>
        <v>0.20120000000000005</v>
      </c>
      <c r="L25">
        <v>250</v>
      </c>
      <c r="M25">
        <v>45.7636</v>
      </c>
      <c r="N25">
        <f t="shared" si="2"/>
        <v>0.09619999999999607</v>
      </c>
      <c r="O25" s="27">
        <v>1.93196206632576</v>
      </c>
      <c r="P25" s="13">
        <f t="shared" si="3"/>
        <v>0.05776707529977741</v>
      </c>
      <c r="Q25">
        <f t="shared" si="4"/>
        <v>88.9278876834718</v>
      </c>
      <c r="R25">
        <f t="shared" si="5"/>
        <v>12.450663796196384</v>
      </c>
      <c r="S25">
        <f t="shared" si="6"/>
        <v>24.06410716421476</v>
      </c>
      <c r="T25">
        <f t="shared" si="7"/>
        <v>11.505800741537598</v>
      </c>
    </row>
    <row r="26" spans="1:20" ht="12.75">
      <c r="A26">
        <v>25</v>
      </c>
      <c r="B26" t="s">
        <v>345</v>
      </c>
      <c r="C26" t="s">
        <v>227</v>
      </c>
      <c r="D26">
        <v>9</v>
      </c>
      <c r="E26" s="3">
        <v>35</v>
      </c>
      <c r="F26">
        <v>40.9424</v>
      </c>
      <c r="G26">
        <v>0.9255</v>
      </c>
      <c r="H26">
        <v>41.732</v>
      </c>
      <c r="I26">
        <f t="shared" si="0"/>
        <v>0.7896000000000001</v>
      </c>
      <c r="J26">
        <v>41.1061</v>
      </c>
      <c r="K26">
        <f t="shared" si="1"/>
        <v>0.16369999999999862</v>
      </c>
      <c r="L26">
        <v>250</v>
      </c>
      <c r="M26">
        <v>41.0055</v>
      </c>
      <c r="N26">
        <f t="shared" si="2"/>
        <v>0.0630999999999986</v>
      </c>
      <c r="O26" s="27">
        <v>36.12203730463125</v>
      </c>
      <c r="P26">
        <f t="shared" si="3"/>
        <v>1.1436815256025596</v>
      </c>
      <c r="Q26">
        <f t="shared" si="4"/>
        <v>85.31604538087521</v>
      </c>
      <c r="R26">
        <f t="shared" si="5"/>
        <v>17.211246200607892</v>
      </c>
      <c r="S26">
        <f t="shared" si="6"/>
        <v>20.732016210739438</v>
      </c>
      <c r="T26">
        <f t="shared" si="7"/>
        <v>7.991388044579356</v>
      </c>
    </row>
    <row r="27" spans="1:20" ht="12.75">
      <c r="A27">
        <v>26</v>
      </c>
      <c r="B27" t="s">
        <v>345</v>
      </c>
      <c r="C27" t="s">
        <v>227</v>
      </c>
      <c r="D27">
        <v>9</v>
      </c>
      <c r="E27" s="3" t="s">
        <v>255</v>
      </c>
      <c r="F27">
        <v>39.2312</v>
      </c>
      <c r="G27">
        <v>0.9983</v>
      </c>
      <c r="H27">
        <v>40.0958</v>
      </c>
      <c r="I27">
        <f t="shared" si="0"/>
        <v>0.8645999999999958</v>
      </c>
      <c r="J27">
        <v>39.4068</v>
      </c>
      <c r="K27">
        <f t="shared" si="1"/>
        <v>0.17559999999999576</v>
      </c>
      <c r="L27">
        <v>250</v>
      </c>
      <c r="M27">
        <v>39.3002</v>
      </c>
      <c r="N27">
        <f t="shared" si="2"/>
        <v>0.06899999999999551</v>
      </c>
      <c r="O27" s="27">
        <v>33.619915839394565</v>
      </c>
      <c r="P27">
        <f t="shared" si="3"/>
        <v>0.9721234050252927</v>
      </c>
      <c r="Q27">
        <f t="shared" si="4"/>
        <v>86.60723229490091</v>
      </c>
      <c r="R27">
        <f t="shared" si="5"/>
        <v>15.463798288226323</v>
      </c>
      <c r="S27">
        <f t="shared" si="6"/>
        <v>20.309969928290148</v>
      </c>
      <c r="T27">
        <f t="shared" si="7"/>
        <v>7.9805690492708585</v>
      </c>
    </row>
    <row r="28" spans="1:20" ht="12.75">
      <c r="A28">
        <v>27</v>
      </c>
      <c r="B28" t="s">
        <v>345</v>
      </c>
      <c r="C28" t="s">
        <v>227</v>
      </c>
      <c r="D28">
        <v>9</v>
      </c>
      <c r="E28" s="3">
        <v>18</v>
      </c>
      <c r="F28">
        <v>42.0036</v>
      </c>
      <c r="G28">
        <v>0.96</v>
      </c>
      <c r="H28">
        <v>42.8452</v>
      </c>
      <c r="I28">
        <f t="shared" si="0"/>
        <v>0.8415999999999997</v>
      </c>
      <c r="J28">
        <v>42.1628</v>
      </c>
      <c r="K28">
        <f t="shared" si="1"/>
        <v>0.15919999999999845</v>
      </c>
      <c r="L28">
        <v>250</v>
      </c>
      <c r="M28">
        <v>42.0684</v>
      </c>
      <c r="N28">
        <f t="shared" si="2"/>
        <v>0.06479999999999819</v>
      </c>
      <c r="O28" s="27">
        <v>29.93083848352464</v>
      </c>
      <c r="P28">
        <f t="shared" si="3"/>
        <v>0.8891052306180088</v>
      </c>
      <c r="Q28">
        <f t="shared" si="4"/>
        <v>87.66666666666664</v>
      </c>
      <c r="R28">
        <f t="shared" si="5"/>
        <v>14.068441064638822</v>
      </c>
      <c r="S28">
        <f t="shared" si="6"/>
        <v>18.916349809885755</v>
      </c>
      <c r="T28">
        <f t="shared" si="7"/>
        <v>7.699619771862906</v>
      </c>
    </row>
    <row r="29" spans="1:20" ht="12.75">
      <c r="A29">
        <v>28</v>
      </c>
      <c r="B29" t="s">
        <v>345</v>
      </c>
      <c r="C29" t="s">
        <v>87</v>
      </c>
      <c r="D29">
        <v>10</v>
      </c>
      <c r="E29" s="3" t="s">
        <v>192</v>
      </c>
      <c r="F29">
        <v>41.2604</v>
      </c>
      <c r="G29">
        <v>1.1434</v>
      </c>
      <c r="H29">
        <v>42.3509</v>
      </c>
      <c r="I29" s="7">
        <f t="shared" si="0"/>
        <v>1.0905000000000058</v>
      </c>
      <c r="J29">
        <v>41.5117</v>
      </c>
      <c r="K29">
        <f t="shared" si="1"/>
        <v>0.2513000000000005</v>
      </c>
      <c r="L29">
        <v>250</v>
      </c>
      <c r="M29">
        <v>41.3822</v>
      </c>
      <c r="N29">
        <f t="shared" si="2"/>
        <v>0.12180000000000035</v>
      </c>
      <c r="O29" s="27">
        <v>31.775636378866437</v>
      </c>
      <c r="P29">
        <f t="shared" si="3"/>
        <v>0.7284648413311845</v>
      </c>
      <c r="Q29">
        <f t="shared" si="4"/>
        <v>95.37344761238464</v>
      </c>
      <c r="R29">
        <f t="shared" si="5"/>
        <v>4.8509857863359835</v>
      </c>
      <c r="S29">
        <f t="shared" si="6"/>
        <v>23.044475011462556</v>
      </c>
      <c r="T29">
        <f t="shared" si="7"/>
        <v>11.169188445667098</v>
      </c>
    </row>
    <row r="30" spans="1:20" ht="12.75">
      <c r="A30">
        <v>29</v>
      </c>
      <c r="B30" t="s">
        <v>345</v>
      </c>
      <c r="C30" t="s">
        <v>88</v>
      </c>
      <c r="D30">
        <v>10</v>
      </c>
      <c r="E30" s="3">
        <v>12</v>
      </c>
      <c r="F30">
        <v>41.6243</v>
      </c>
      <c r="G30">
        <v>1.0869</v>
      </c>
      <c r="H30">
        <v>42.6653</v>
      </c>
      <c r="I30" s="7">
        <f t="shared" si="0"/>
        <v>1.041000000000004</v>
      </c>
      <c r="J30">
        <v>41.8668</v>
      </c>
      <c r="K30">
        <f t="shared" si="1"/>
        <v>0.24249999999999972</v>
      </c>
      <c r="L30">
        <v>250</v>
      </c>
      <c r="M30">
        <v>41.7375</v>
      </c>
      <c r="N30">
        <f t="shared" si="2"/>
        <v>0.11319999999999908</v>
      </c>
      <c r="O30" s="27">
        <v>23.46996317567061</v>
      </c>
      <c r="P30">
        <f t="shared" si="3"/>
        <v>0.5636398457173516</v>
      </c>
      <c r="Q30">
        <f t="shared" si="4"/>
        <v>95.77698040298131</v>
      </c>
      <c r="R30">
        <f t="shared" si="5"/>
        <v>4.4092219020168955</v>
      </c>
      <c r="S30">
        <f t="shared" si="6"/>
        <v>23.294908741594504</v>
      </c>
      <c r="T30">
        <f t="shared" si="7"/>
        <v>10.874159462055587</v>
      </c>
    </row>
    <row r="31" spans="1:20" ht="12.75">
      <c r="A31">
        <v>30</v>
      </c>
      <c r="B31" t="s">
        <v>345</v>
      </c>
      <c r="C31" t="s">
        <v>86</v>
      </c>
      <c r="D31">
        <v>10</v>
      </c>
      <c r="E31" s="3">
        <v>14</v>
      </c>
      <c r="F31">
        <v>35.8958</v>
      </c>
      <c r="G31">
        <v>0.9217</v>
      </c>
      <c r="H31">
        <v>36.7776</v>
      </c>
      <c r="I31" s="7">
        <f t="shared" si="0"/>
        <v>0.8817999999999984</v>
      </c>
      <c r="J31">
        <v>36.103</v>
      </c>
      <c r="K31">
        <f t="shared" si="1"/>
        <v>0.20720000000000027</v>
      </c>
      <c r="L31">
        <v>250</v>
      </c>
      <c r="M31">
        <v>35.9895</v>
      </c>
      <c r="N31">
        <f t="shared" si="2"/>
        <v>0.09369999999999834</v>
      </c>
      <c r="O31" s="27">
        <v>34.41016261794324</v>
      </c>
      <c r="P31">
        <f t="shared" si="3"/>
        <v>0.9755659621780253</v>
      </c>
      <c r="Q31">
        <f t="shared" si="4"/>
        <v>95.67104263860242</v>
      </c>
      <c r="R31">
        <f t="shared" si="5"/>
        <v>4.524835563620059</v>
      </c>
      <c r="S31">
        <f t="shared" si="6"/>
        <v>23.497391698797987</v>
      </c>
      <c r="T31">
        <f t="shared" si="7"/>
        <v>10.625992288500626</v>
      </c>
    </row>
    <row r="32" spans="1:20" ht="12.75">
      <c r="A32">
        <v>31</v>
      </c>
      <c r="B32" t="s">
        <v>345</v>
      </c>
      <c r="C32" t="s">
        <v>228</v>
      </c>
      <c r="D32">
        <v>11</v>
      </c>
      <c r="E32" s="3">
        <v>2</v>
      </c>
      <c r="F32">
        <v>43.617</v>
      </c>
      <c r="G32">
        <v>1.0002</v>
      </c>
      <c r="H32">
        <v>44.503</v>
      </c>
      <c r="I32">
        <f t="shared" si="0"/>
        <v>0.8860000000000028</v>
      </c>
      <c r="J32">
        <v>43.7977</v>
      </c>
      <c r="K32">
        <f t="shared" si="1"/>
        <v>0.18070000000000164</v>
      </c>
      <c r="L32">
        <v>250</v>
      </c>
      <c r="M32">
        <v>43.6897</v>
      </c>
      <c r="N32">
        <f t="shared" si="2"/>
        <v>0.07270000000000465</v>
      </c>
      <c r="O32" s="28">
        <v>26.239687388400004</v>
      </c>
      <c r="P32">
        <f t="shared" si="3"/>
        <v>0.740397499672684</v>
      </c>
      <c r="Q32">
        <f t="shared" si="4"/>
        <v>88.58228354329162</v>
      </c>
      <c r="R32">
        <f t="shared" si="5"/>
        <v>12.889390519187002</v>
      </c>
      <c r="S32">
        <f t="shared" si="6"/>
        <v>20.395033860045267</v>
      </c>
      <c r="T32">
        <f t="shared" si="7"/>
        <v>8.205417607223975</v>
      </c>
    </row>
    <row r="33" spans="1:20" ht="12.75">
      <c r="A33">
        <v>32</v>
      </c>
      <c r="B33" t="s">
        <v>345</v>
      </c>
      <c r="C33" t="s">
        <v>228</v>
      </c>
      <c r="D33">
        <v>11</v>
      </c>
      <c r="E33" s="3">
        <v>25</v>
      </c>
      <c r="F33">
        <v>36.6192</v>
      </c>
      <c r="G33">
        <v>1.035</v>
      </c>
      <c r="H33">
        <v>37.5341</v>
      </c>
      <c r="I33">
        <f t="shared" si="0"/>
        <v>0.9149000000000029</v>
      </c>
      <c r="J33">
        <v>36.8066</v>
      </c>
      <c r="K33">
        <f t="shared" si="1"/>
        <v>0.18740000000000379</v>
      </c>
      <c r="L33">
        <v>250</v>
      </c>
      <c r="M33">
        <v>36.6944</v>
      </c>
      <c r="N33">
        <f t="shared" si="2"/>
        <v>0.07520000000000238</v>
      </c>
      <c r="O33" s="28">
        <v>28.612808292068046</v>
      </c>
      <c r="P33">
        <f t="shared" si="3"/>
        <v>0.7818561671239468</v>
      </c>
      <c r="Q33">
        <f t="shared" si="4"/>
        <v>88.39613526570076</v>
      </c>
      <c r="R33">
        <f t="shared" si="5"/>
        <v>13.127117717782994</v>
      </c>
      <c r="S33">
        <f t="shared" si="6"/>
        <v>20.48311290851494</v>
      </c>
      <c r="T33">
        <f t="shared" si="7"/>
        <v>8.219477538529034</v>
      </c>
    </row>
    <row r="34" spans="1:20" ht="12.75">
      <c r="A34">
        <v>33</v>
      </c>
      <c r="B34" t="s">
        <v>345</v>
      </c>
      <c r="C34" t="s">
        <v>228</v>
      </c>
      <c r="D34">
        <v>11</v>
      </c>
      <c r="E34" s="3">
        <v>4</v>
      </c>
      <c r="F34">
        <v>44.3794</v>
      </c>
      <c r="G34">
        <v>1.0068</v>
      </c>
      <c r="H34">
        <v>45.2722</v>
      </c>
      <c r="I34">
        <f t="shared" si="0"/>
        <v>0.8928000000000011</v>
      </c>
      <c r="J34">
        <v>44.5638</v>
      </c>
      <c r="K34">
        <f t="shared" si="1"/>
        <v>0.18440000000000367</v>
      </c>
      <c r="L34">
        <v>250</v>
      </c>
      <c r="M34">
        <v>44.4501</v>
      </c>
      <c r="N34">
        <f t="shared" si="2"/>
        <v>0.0707000000000022</v>
      </c>
      <c r="O34" s="28">
        <v>26.50340981001684</v>
      </c>
      <c r="P34">
        <f t="shared" si="3"/>
        <v>0.7421429718306678</v>
      </c>
      <c r="Q34">
        <f t="shared" si="4"/>
        <v>88.67699642431478</v>
      </c>
      <c r="R34">
        <f t="shared" si="5"/>
        <v>12.76881720430092</v>
      </c>
      <c r="S34">
        <f t="shared" si="6"/>
        <v>20.654121863799666</v>
      </c>
      <c r="T34">
        <f t="shared" si="7"/>
        <v>7.918906810036079</v>
      </c>
    </row>
    <row r="35" spans="1:20" ht="12.75">
      <c r="A35">
        <v>34</v>
      </c>
      <c r="B35" t="s">
        <v>345</v>
      </c>
      <c r="C35" t="s">
        <v>86</v>
      </c>
      <c r="D35">
        <v>12</v>
      </c>
      <c r="E35" s="3">
        <v>32</v>
      </c>
      <c r="F35">
        <v>42.6014</v>
      </c>
      <c r="G35">
        <v>1.022</v>
      </c>
      <c r="H35">
        <v>43.5626</v>
      </c>
      <c r="I35">
        <f t="shared" si="0"/>
        <v>0.9612000000000052</v>
      </c>
      <c r="J35">
        <v>42.8132</v>
      </c>
      <c r="K35">
        <f t="shared" si="1"/>
        <v>0.21180000000000376</v>
      </c>
      <c r="L35">
        <v>250</v>
      </c>
      <c r="M35">
        <v>42.7019</v>
      </c>
      <c r="N35">
        <f t="shared" si="2"/>
        <v>0.10050000000000381</v>
      </c>
      <c r="O35" s="27">
        <v>27.030822912343563</v>
      </c>
      <c r="P35">
        <f t="shared" si="3"/>
        <v>0.7030488689227897</v>
      </c>
      <c r="Q35">
        <f t="shared" si="4"/>
        <v>94.0508806262236</v>
      </c>
      <c r="R35">
        <f t="shared" si="5"/>
        <v>6.325426550145083</v>
      </c>
      <c r="S35">
        <f t="shared" si="6"/>
        <v>22.0349563046195</v>
      </c>
      <c r="T35">
        <f t="shared" si="7"/>
        <v>10.455680399500965</v>
      </c>
    </row>
    <row r="36" spans="1:20" ht="12.75">
      <c r="A36">
        <v>35</v>
      </c>
      <c r="B36" t="s">
        <v>345</v>
      </c>
      <c r="C36" t="s">
        <v>87</v>
      </c>
      <c r="D36">
        <v>12</v>
      </c>
      <c r="E36" s="3">
        <v>16</v>
      </c>
      <c r="F36">
        <v>42.3219</v>
      </c>
      <c r="G36">
        <v>1.0033</v>
      </c>
      <c r="H36">
        <v>43.2658</v>
      </c>
      <c r="I36">
        <f t="shared" si="0"/>
        <v>0.9438999999999993</v>
      </c>
      <c r="J36">
        <v>42.525</v>
      </c>
      <c r="K36">
        <f t="shared" si="1"/>
        <v>0.20309999999999917</v>
      </c>
      <c r="L36">
        <v>250</v>
      </c>
      <c r="M36">
        <v>42.4202</v>
      </c>
      <c r="N36">
        <f t="shared" si="2"/>
        <v>0.09830000000000183</v>
      </c>
      <c r="O36" s="28">
        <v>39.14964361209684</v>
      </c>
      <c r="P36">
        <f t="shared" si="3"/>
        <v>1.0369118447954462</v>
      </c>
      <c r="Q36">
        <f t="shared" si="4"/>
        <v>94.07953752616358</v>
      </c>
      <c r="R36">
        <f t="shared" si="5"/>
        <v>6.293039516898065</v>
      </c>
      <c r="S36">
        <f t="shared" si="6"/>
        <v>21.51710986333291</v>
      </c>
      <c r="T36">
        <f t="shared" si="7"/>
        <v>10.41423879648288</v>
      </c>
    </row>
    <row r="37" spans="1:20" ht="12.75">
      <c r="A37">
        <v>36</v>
      </c>
      <c r="B37" t="s">
        <v>345</v>
      </c>
      <c r="C37" t="s">
        <v>87</v>
      </c>
      <c r="D37">
        <v>12</v>
      </c>
      <c r="E37" s="3">
        <v>12</v>
      </c>
      <c r="F37">
        <v>33.4016</v>
      </c>
      <c r="G37">
        <v>1.0101</v>
      </c>
      <c r="H37">
        <v>34.3518</v>
      </c>
      <c r="I37">
        <f t="shared" si="0"/>
        <v>0.9501999999999953</v>
      </c>
      <c r="J37">
        <v>33.6145</v>
      </c>
      <c r="K37">
        <f t="shared" si="1"/>
        <v>0.21289999999999765</v>
      </c>
      <c r="L37">
        <v>250</v>
      </c>
      <c r="M37">
        <v>33.5021</v>
      </c>
      <c r="N37">
        <f t="shared" si="2"/>
        <v>0.1004999999999967</v>
      </c>
      <c r="O37">
        <v>32.302624946562574</v>
      </c>
      <c r="P37">
        <f t="shared" si="3"/>
        <v>0.849890153298325</v>
      </c>
      <c r="Q37">
        <f t="shared" si="4"/>
        <v>94.0698940698936</v>
      </c>
      <c r="R37">
        <f t="shared" si="5"/>
        <v>6.303936013471377</v>
      </c>
      <c r="S37">
        <f t="shared" si="6"/>
        <v>22.40580930330443</v>
      </c>
      <c r="T37">
        <f t="shared" si="7"/>
        <v>10.576720690380679</v>
      </c>
    </row>
    <row r="41" spans="1:2" ht="12.75">
      <c r="A41" s="6"/>
      <c r="B41" s="27"/>
    </row>
    <row r="42" spans="1:16" ht="27.75">
      <c r="A42" s="6"/>
      <c r="B42" s="27"/>
      <c r="D42" s="9" t="s">
        <v>62</v>
      </c>
      <c r="E42" s="10" t="s">
        <v>155</v>
      </c>
      <c r="F42" s="9" t="s">
        <v>217</v>
      </c>
      <c r="G42" s="10" t="s">
        <v>223</v>
      </c>
      <c r="H42" s="9" t="s">
        <v>218</v>
      </c>
      <c r="I42" s="9" t="s">
        <v>217</v>
      </c>
      <c r="J42" s="9" t="s">
        <v>222</v>
      </c>
      <c r="K42" s="10" t="s">
        <v>181</v>
      </c>
      <c r="L42" s="9" t="s">
        <v>220</v>
      </c>
      <c r="M42" s="9" t="s">
        <v>221</v>
      </c>
      <c r="N42" s="14" t="s">
        <v>107</v>
      </c>
      <c r="O42" s="14" t="s">
        <v>110</v>
      </c>
      <c r="P42" s="14" t="s">
        <v>111</v>
      </c>
    </row>
    <row r="43" spans="1:16" ht="12.75">
      <c r="A43" s="6"/>
      <c r="B43" s="27"/>
      <c r="D43" s="5">
        <v>1</v>
      </c>
      <c r="E43">
        <f>AVERAGE(I2:I4)</f>
        <v>0.813966666666668</v>
      </c>
      <c r="F43">
        <f>STDEV(I2:I4)</f>
        <v>0.032482969897058754</v>
      </c>
      <c r="G43">
        <f>(F43/E43)*100</f>
        <v>3.9907002617296414</v>
      </c>
      <c r="H43">
        <f>AVERAGE(S2:S4)</f>
        <v>20.710543958376707</v>
      </c>
      <c r="I43">
        <f>STDEV(S2:S4)</f>
        <v>0.3246888777367565</v>
      </c>
      <c r="J43">
        <f>100*(I43/H43)</f>
        <v>1.5677467399663876</v>
      </c>
      <c r="K43">
        <f>AVERAGE(T2:T4)</f>
        <v>8.187527558451341</v>
      </c>
      <c r="L43">
        <f>STDEV(T2:T4)</f>
        <v>0.41592786888980054</v>
      </c>
      <c r="M43" s="8">
        <f>100*(L43/K43)</f>
        <v>5.080017940953016</v>
      </c>
      <c r="N43">
        <f>AVERAGE(P2:P4)</f>
        <v>0.6643017049587853</v>
      </c>
      <c r="O43">
        <f>STDEV(P2:P4)</f>
        <v>0.19558677655061052</v>
      </c>
      <c r="P43" s="8">
        <f>100*(O43/N43)</f>
        <v>29.442461925149683</v>
      </c>
    </row>
    <row r="44" spans="1:16" ht="12.75">
      <c r="A44" s="6"/>
      <c r="B44" s="28"/>
      <c r="D44">
        <v>2</v>
      </c>
      <c r="E44">
        <f>AVERAGE(I5:I7)</f>
        <v>0.8515999999999977</v>
      </c>
      <c r="F44">
        <f>STDEV(I5:I7)</f>
        <v>0.05924964134912609</v>
      </c>
      <c r="G44" s="8">
        <f>(F44/E44)*100</f>
        <v>6.957449665233237</v>
      </c>
      <c r="H44">
        <f>AVERAGE(S5:S7)</f>
        <v>26.533165223583257</v>
      </c>
      <c r="I44">
        <f>STDEV(S5:S7)</f>
        <v>0.5567486601619377</v>
      </c>
      <c r="J44" s="11">
        <f aca="true" t="shared" si="8" ref="J44:J54">100*(I44/H44)</f>
        <v>2.098312264935083</v>
      </c>
      <c r="K44">
        <f>AVERAGE(T5:T7)</f>
        <v>10.530628160896894</v>
      </c>
      <c r="L44">
        <f>STDEV(T5:T7)</f>
        <v>0.4915231614953696</v>
      </c>
      <c r="M44">
        <f aca="true" t="shared" si="9" ref="M44:M54">100*(L44/K44)</f>
        <v>4.6675578511121465</v>
      </c>
      <c r="N44">
        <f>AVERAGE(P5:P7)</f>
        <v>1.1811216420880628</v>
      </c>
      <c r="O44">
        <f>STDEV(P5:P7)</f>
        <v>0.10156979036162968</v>
      </c>
      <c r="P44" s="8">
        <f aca="true" t="shared" si="10" ref="P44:P54">100*(O44/N44)</f>
        <v>8.599435209913525</v>
      </c>
    </row>
    <row r="45" spans="1:16" ht="12.75">
      <c r="A45" s="6"/>
      <c r="B45" s="28"/>
      <c r="D45">
        <v>3</v>
      </c>
      <c r="E45">
        <f>AVERAGE(I8:I10)</f>
        <v>0.9179666666666648</v>
      </c>
      <c r="F45">
        <f>STDEV(I8:I10)</f>
        <v>0.050227714793062476</v>
      </c>
      <c r="G45" s="8">
        <f>(F45/E45)*100</f>
        <v>5.471627305972902</v>
      </c>
      <c r="H45">
        <f>AVERAGE(S8:S10)</f>
        <v>21.212307019895775</v>
      </c>
      <c r="I45">
        <f>STDEV(S8:S10)</f>
        <v>0.3881552960208951</v>
      </c>
      <c r="J45">
        <f t="shared" si="8"/>
        <v>1.8298589382891286</v>
      </c>
      <c r="K45">
        <f>AVERAGE(T8:T10)</f>
        <v>8.56074512210329</v>
      </c>
      <c r="L45">
        <f>STDEV(T6:T8)</f>
        <v>1.411786020916676</v>
      </c>
      <c r="M45" s="8">
        <f t="shared" si="9"/>
        <v>16.49139182139106</v>
      </c>
      <c r="N45">
        <f>AVERAGE(P8:P10)</f>
        <v>0.9552195423202031</v>
      </c>
      <c r="O45">
        <f>STDEV(P8:P10)</f>
        <v>0.12346838046289926</v>
      </c>
      <c r="P45" s="8">
        <f t="shared" si="10"/>
        <v>12.925654783297022</v>
      </c>
    </row>
    <row r="46" spans="1:16" ht="12.75">
      <c r="A46" s="6"/>
      <c r="B46" s="28"/>
      <c r="D46" s="5">
        <v>4</v>
      </c>
      <c r="E46">
        <f>AVERAGE(I11:I13)</f>
        <v>0.9202333333333333</v>
      </c>
      <c r="F46">
        <f>STDEV(I11:I13)</f>
        <v>0.035024324880477374</v>
      </c>
      <c r="G46">
        <f>(F46/E46)*100</f>
        <v>3.8060265382487093</v>
      </c>
      <c r="H46">
        <f>AVERAGE(S11:S13)</f>
        <v>24.46139662667493</v>
      </c>
      <c r="I46">
        <f>STDEV(S11:S13)</f>
        <v>0.5673532248947992</v>
      </c>
      <c r="J46">
        <f t="shared" si="8"/>
        <v>2.3193819778716382</v>
      </c>
      <c r="K46">
        <f>AVERAGE(T11:T13)</f>
        <v>11.798367197250945</v>
      </c>
      <c r="L46">
        <f>STDEV(T8:T10)</f>
        <v>0.3813610846955675</v>
      </c>
      <c r="M46">
        <f t="shared" si="9"/>
        <v>3.23232086541963</v>
      </c>
      <c r="N46">
        <f>AVERAGE(P11:P13)</f>
        <v>1.0756477467038223</v>
      </c>
      <c r="O46">
        <f>STDEV(P11:P13)</f>
        <v>0.21548503421415802</v>
      </c>
      <c r="P46" s="8">
        <f t="shared" si="10"/>
        <v>20.03304844680639</v>
      </c>
    </row>
    <row r="47" spans="1:16" ht="12.75">
      <c r="A47" s="6"/>
      <c r="B47" s="27"/>
      <c r="D47">
        <v>5</v>
      </c>
      <c r="E47">
        <f>AVERAGE(I14:I16)</f>
        <v>0.9405333333333322</v>
      </c>
      <c r="F47">
        <f>STDEV(I14:I16)</f>
        <v>0.07691666486095775</v>
      </c>
      <c r="G47" s="8">
        <f aca="true" t="shared" si="11" ref="G47:G54">(F47/E47)*100</f>
        <v>8.177983930495943</v>
      </c>
      <c r="H47">
        <f>AVERAGE(S14:S16)</f>
        <v>20.81631998750159</v>
      </c>
      <c r="I47">
        <f>STDEV(S14:S16)</f>
        <v>0.1881268059453287</v>
      </c>
      <c r="J47">
        <f t="shared" si="8"/>
        <v>0.9037467047887555</v>
      </c>
      <c r="K47">
        <f>AVERAGE(T14:T16)</f>
        <v>8.153794703553606</v>
      </c>
      <c r="L47">
        <f>STDEV(T14:T16)</f>
        <v>0.2892376325155293</v>
      </c>
      <c r="M47">
        <f t="shared" si="9"/>
        <v>3.547276366787516</v>
      </c>
      <c r="N47">
        <f>AVERAGE(P14:P16)</f>
        <v>0.681771444459592</v>
      </c>
      <c r="O47">
        <f>STDEV(P14:P16)</f>
        <v>0.05152596583695425</v>
      </c>
      <c r="P47">
        <f t="shared" si="10"/>
        <v>7.557659719496825</v>
      </c>
    </row>
    <row r="48" spans="1:16" ht="12.75">
      <c r="A48" s="6"/>
      <c r="B48" s="28"/>
      <c r="D48">
        <v>6</v>
      </c>
      <c r="E48">
        <f>AVERAGE(I17:I19)</f>
        <v>0.9531333333333313</v>
      </c>
      <c r="F48">
        <f>STDEV(I17:I19)</f>
        <v>0.04522525105882176</v>
      </c>
      <c r="G48">
        <f t="shared" si="11"/>
        <v>4.744902887894859</v>
      </c>
      <c r="H48">
        <f>AVERAGE(S17:S19)</f>
        <v>17.854409366835426</v>
      </c>
      <c r="I48">
        <f>STDEV(S17:S19)</f>
        <v>0.33520678345822325</v>
      </c>
      <c r="J48">
        <f t="shared" si="8"/>
        <v>1.8774453781757128</v>
      </c>
      <c r="K48">
        <f>AVERAGE(T17:T19)</f>
        <v>7.855963396094277</v>
      </c>
      <c r="L48">
        <f>STDEV(T17:T19)</f>
        <v>0.29694568484197204</v>
      </c>
      <c r="M48">
        <f t="shared" si="9"/>
        <v>3.7798761255634603</v>
      </c>
      <c r="N48">
        <f>AVERAGE(P17:P19)</f>
        <v>0.7223959308795012</v>
      </c>
      <c r="O48">
        <f>STDEV(P17:P19)</f>
        <v>0.11790588442183761</v>
      </c>
      <c r="P48" s="8">
        <f t="shared" si="10"/>
        <v>16.321504507685944</v>
      </c>
    </row>
    <row r="49" spans="1:16" ht="12.75">
      <c r="A49" s="6"/>
      <c r="B49" s="28"/>
      <c r="D49" s="5">
        <v>7</v>
      </c>
      <c r="E49">
        <f>AVERAGE(I20:I22)</f>
        <v>0.8867999999999986</v>
      </c>
      <c r="F49">
        <f>STDEV(I20:I22)</f>
        <v>0.08555214783978028</v>
      </c>
      <c r="G49" s="8">
        <f t="shared" si="11"/>
        <v>9.647287758207083</v>
      </c>
      <c r="H49">
        <f>AVERAGE(S20:S22)</f>
        <v>27.570129324236518</v>
      </c>
      <c r="I49">
        <f>STDEV(S20:S22)</f>
        <v>0.4236162645557979</v>
      </c>
      <c r="J49">
        <f t="shared" si="8"/>
        <v>1.536504452242096</v>
      </c>
      <c r="K49" s="40">
        <f>T20</f>
        <v>12.050898203593086</v>
      </c>
      <c r="L49" t="s">
        <v>182</v>
      </c>
      <c r="M49" s="13" t="e">
        <f t="shared" si="9"/>
        <v>#VALUE!</v>
      </c>
      <c r="N49">
        <f>AVERAGE(P20:P22)</f>
        <v>1.272726714020511</v>
      </c>
      <c r="O49">
        <f>STDEV(P20:P22)</f>
        <v>0.2272848359604678</v>
      </c>
      <c r="P49" s="8">
        <f t="shared" si="10"/>
        <v>17.858102093455777</v>
      </c>
    </row>
    <row r="50" spans="1:18" ht="12.75">
      <c r="A50" s="6"/>
      <c r="B50" s="27"/>
      <c r="C50" s="29"/>
      <c r="D50">
        <v>8</v>
      </c>
      <c r="E50">
        <f>AVERAGE(I23:I25)</f>
        <v>0.8663000000000002</v>
      </c>
      <c r="F50">
        <f>STDEV(I23:I25)</f>
        <v>0.06307765055865718</v>
      </c>
      <c r="G50" s="8">
        <f t="shared" si="11"/>
        <v>7.281270986801011</v>
      </c>
      <c r="H50">
        <f>AVERAGE(S23:S25)</f>
        <v>24.65899293042892</v>
      </c>
      <c r="I50">
        <f>STDEV(S23:S25)</f>
        <v>0.6067501126490082</v>
      </c>
      <c r="J50">
        <f t="shared" si="8"/>
        <v>2.4605632288425108</v>
      </c>
      <c r="K50" s="40">
        <f>AVERAGE(T24:T25)</f>
        <v>11.256541147467733</v>
      </c>
      <c r="L50" s="40">
        <f>STDEV(T24:T25)</f>
        <v>0.35250629848521503</v>
      </c>
      <c r="M50" s="13">
        <f t="shared" si="9"/>
        <v>3.1315685152940143</v>
      </c>
      <c r="N50" s="13">
        <f>AVERAGE(P23:P25)</f>
        <v>0.7831146236607248</v>
      </c>
      <c r="O50">
        <f>STDEV(P23:P25)</f>
        <v>0.6288796629493716</v>
      </c>
      <c r="P50" s="8">
        <f t="shared" si="10"/>
        <v>80.30493160881468</v>
      </c>
      <c r="R50">
        <f>AVERAGE(P23:P25)</f>
        <v>0.7831146236607248</v>
      </c>
    </row>
    <row r="51" spans="1:16" ht="12.75">
      <c r="A51" s="6"/>
      <c r="B51" s="27"/>
      <c r="D51">
        <v>9</v>
      </c>
      <c r="E51">
        <f>AVERAGE(I26:I28)</f>
        <v>0.8319333333333319</v>
      </c>
      <c r="F51">
        <f>STDEV(I26:I28)</f>
        <v>0.03842308333974761</v>
      </c>
      <c r="G51">
        <f t="shared" si="11"/>
        <v>4.61852912970763</v>
      </c>
      <c r="H51">
        <f>AVERAGE(S26:S28)</f>
        <v>19.98611198297178</v>
      </c>
      <c r="I51">
        <f>STDEV(S26:S28)</f>
        <v>0.9501705617185883</v>
      </c>
      <c r="J51">
        <f t="shared" si="8"/>
        <v>4.754154097245808</v>
      </c>
      <c r="K51">
        <f>AVERAGE(T26:T28)</f>
        <v>7.890525621904374</v>
      </c>
      <c r="L51">
        <f>STDEV(T26:T28)</f>
        <v>0.16541779030658318</v>
      </c>
      <c r="M51">
        <f t="shared" si="9"/>
        <v>2.096410280290804</v>
      </c>
      <c r="N51">
        <f>AVERAGE(P26:P28)</f>
        <v>1.0016367204152872</v>
      </c>
      <c r="O51">
        <f>STDEV(P26:P28)</f>
        <v>0.12982892332218185</v>
      </c>
      <c r="P51" s="8">
        <f t="shared" si="10"/>
        <v>12.961677689727036</v>
      </c>
    </row>
    <row r="52" spans="1:16" ht="12.75">
      <c r="A52" s="6"/>
      <c r="B52" s="27"/>
      <c r="D52" s="5">
        <v>10</v>
      </c>
      <c r="E52">
        <f>AVERAGE(I29:I31)</f>
        <v>1.004433333333336</v>
      </c>
      <c r="F52">
        <f>STDEV(I29:I31)</f>
        <v>0.10904936191163236</v>
      </c>
      <c r="G52" s="8">
        <f t="shared" si="11"/>
        <v>10.856804358507159</v>
      </c>
      <c r="H52">
        <f>AVERAGE(S29:S31)</f>
        <v>23.27892515061835</v>
      </c>
      <c r="I52">
        <f>STDEV(S29:S31)</f>
        <v>0.2268809992090457</v>
      </c>
      <c r="J52">
        <f t="shared" si="8"/>
        <v>0.9746197375569943</v>
      </c>
      <c r="K52">
        <f>AVERAGE(T29:T31)</f>
        <v>10.88978006540777</v>
      </c>
      <c r="L52">
        <f>STDEV(T29:T31)</f>
        <v>0.27193476924976007</v>
      </c>
      <c r="M52">
        <f t="shared" si="9"/>
        <v>2.497155751690357</v>
      </c>
      <c r="N52">
        <f>AVERAGE(P29:P31)</f>
        <v>0.7558902164088538</v>
      </c>
      <c r="O52">
        <f>STDEV(P29:P31)</f>
        <v>0.20732798835228788</v>
      </c>
      <c r="P52" s="8">
        <f t="shared" si="10"/>
        <v>27.42832012527943</v>
      </c>
    </row>
    <row r="53" spans="1:16" ht="12.75">
      <c r="A53" s="6"/>
      <c r="B53" s="27"/>
      <c r="D53">
        <v>11</v>
      </c>
      <c r="E53">
        <f>AVERAGE(I32:I34)</f>
        <v>0.8979000000000023</v>
      </c>
      <c r="F53">
        <f>STDEV(I32:I34)</f>
        <v>0.015109930509436861</v>
      </c>
      <c r="G53" s="11">
        <f t="shared" si="11"/>
        <v>1.682807719059675</v>
      </c>
      <c r="H53">
        <f>AVERAGE(S32:S34)</f>
        <v>20.510756210786624</v>
      </c>
      <c r="I53">
        <f>STDEV(S32:S34)</f>
        <v>0.1317374758476977</v>
      </c>
      <c r="J53">
        <f t="shared" si="8"/>
        <v>0.6422848309143124</v>
      </c>
      <c r="K53">
        <f>AVERAGE(T32:T34)</f>
        <v>8.114600651929697</v>
      </c>
      <c r="L53">
        <f>STDEV(T32:T34)</f>
        <v>0.1696215795038731</v>
      </c>
      <c r="M53">
        <f t="shared" si="9"/>
        <v>2.090325658398681</v>
      </c>
      <c r="N53">
        <f>AVERAGE(P32:P34)</f>
        <v>0.7547988795424329</v>
      </c>
      <c r="O53">
        <f>STDEV(P32:P34)</f>
        <v>0.023448545300618018</v>
      </c>
      <c r="P53">
        <f t="shared" si="10"/>
        <v>3.106595138937246</v>
      </c>
    </row>
    <row r="54" spans="1:16" ht="12.75">
      <c r="A54" s="6"/>
      <c r="B54" s="27"/>
      <c r="D54">
        <v>12</v>
      </c>
      <c r="E54">
        <f>AVERAGE(I35:I37)</f>
        <v>0.9517666666666665</v>
      </c>
      <c r="F54">
        <f>STDEV(I35:I37)</f>
        <v>0.008755760008896713</v>
      </c>
      <c r="G54" s="11">
        <f t="shared" si="11"/>
        <v>0.9199481675021939</v>
      </c>
      <c r="H54">
        <f>AVERAGE(S35:S37)</f>
        <v>21.98595849041895</v>
      </c>
      <c r="I54">
        <f>STDEV(S35:S37)</f>
        <v>0.44637121658855633</v>
      </c>
      <c r="J54">
        <f t="shared" si="8"/>
        <v>2.0302558871066556</v>
      </c>
      <c r="K54">
        <f>AVERAGE(T35:T37)</f>
        <v>10.482213295454843</v>
      </c>
      <c r="L54">
        <f>STDEV(T35:T37)</f>
        <v>0.08442800120178293</v>
      </c>
      <c r="M54">
        <f t="shared" si="9"/>
        <v>0.8054405956267984</v>
      </c>
      <c r="N54">
        <f>AVERAGE(P35:P37)</f>
        <v>0.8632836223388537</v>
      </c>
      <c r="O54">
        <f>STDEV(P35:P37)</f>
        <v>0.16733397869034622</v>
      </c>
      <c r="P54" s="8">
        <f t="shared" si="10"/>
        <v>19.383430237793245</v>
      </c>
    </row>
    <row r="55" spans="1:5" ht="12.75">
      <c r="A55" s="6"/>
      <c r="B55" s="27"/>
      <c r="E55"/>
    </row>
    <row r="56" spans="1:10" ht="12.75">
      <c r="A56" s="6"/>
      <c r="B56" s="27"/>
      <c r="C56" s="29"/>
      <c r="D56" s="14" t="s">
        <v>27</v>
      </c>
      <c r="E56" s="14" t="s">
        <v>28</v>
      </c>
      <c r="F56" s="14" t="s">
        <v>29</v>
      </c>
      <c r="G56" s="14" t="s">
        <v>30</v>
      </c>
      <c r="H56" s="14" t="s">
        <v>32</v>
      </c>
      <c r="I56" s="14" t="s">
        <v>108</v>
      </c>
      <c r="J56" s="14" t="s">
        <v>111</v>
      </c>
    </row>
    <row r="57" spans="1:10" ht="12.75">
      <c r="A57" s="6"/>
      <c r="B57" s="27"/>
      <c r="D57" t="s">
        <v>31</v>
      </c>
      <c r="E57">
        <f>AVERAGE(N44,N46,N49)</f>
        <v>1.1764987009374652</v>
      </c>
      <c r="F57">
        <f>STDEV(N44,N46,N49)</f>
        <v>0.0986207814221451</v>
      </c>
      <c r="G57" s="8">
        <f>100*(F57/E57)</f>
        <v>8.382566112785458</v>
      </c>
      <c r="H57" s="40">
        <f>AVERAGE(K44,K46,K49)</f>
        <v>11.459964520580309</v>
      </c>
      <c r="I57">
        <f>STDEV(K44,K46,K49)</f>
        <v>0.8146732654035351</v>
      </c>
      <c r="J57" s="8">
        <f>100*(I57/H57)</f>
        <v>7.108863766030941</v>
      </c>
    </row>
    <row r="58" spans="1:10" ht="12.75">
      <c r="A58" s="6"/>
      <c r="B58" s="27"/>
      <c r="D58" t="s">
        <v>342</v>
      </c>
      <c r="E58" s="40">
        <f>AVERAGE(N52,N54)</f>
        <v>0.8095869193738537</v>
      </c>
      <c r="F58">
        <f>STDEV(N50,N52,N54)</f>
        <v>0.05582947300562565</v>
      </c>
      <c r="G58">
        <f>100*(F58/E58)</f>
        <v>6.896044349234913</v>
      </c>
      <c r="H58" s="40">
        <f>AVERAGE(K50,K52,K54)</f>
        <v>10.876178169443449</v>
      </c>
      <c r="I58">
        <f>STDEV(K50,K52,K54)</f>
        <v>0.38734308343004165</v>
      </c>
      <c r="J58">
        <f>100*(I58/H58)</f>
        <v>3.56138964805008</v>
      </c>
    </row>
    <row r="59" spans="1:10" ht="12.75">
      <c r="A59" s="6"/>
      <c r="B59" s="27"/>
      <c r="C59" s="29"/>
      <c r="D59" t="s">
        <v>343</v>
      </c>
      <c r="E59">
        <f>AVERAGE(N45,N48,N51)</f>
        <v>0.8930840645383306</v>
      </c>
      <c r="F59">
        <f>STDEV(N45,N48,N51)</f>
        <v>0.1496311058387534</v>
      </c>
      <c r="G59" s="8">
        <f>100*(F59/E59)</f>
        <v>16.754425678405028</v>
      </c>
      <c r="H59">
        <f>AVERAGE(K45,K48,K51)</f>
        <v>8.10241138003398</v>
      </c>
      <c r="I59">
        <f>STDEV(K45,K48,K51)</f>
        <v>0.39730467050197055</v>
      </c>
      <c r="J59">
        <f>100*(I59/H59)</f>
        <v>4.903536143338902</v>
      </c>
    </row>
    <row r="60" spans="1:10" ht="12.75">
      <c r="A60" s="6"/>
      <c r="B60" s="27"/>
      <c r="D60" t="s">
        <v>344</v>
      </c>
      <c r="E60">
        <f>AVERAGE(N43,N47,N53)</f>
        <v>0.70029067632027</v>
      </c>
      <c r="F60">
        <f>STDEV(N43,N47,N53)</f>
        <v>0.048006834028479335</v>
      </c>
      <c r="G60">
        <f>100*(F60/E60)</f>
        <v>6.855272482097699</v>
      </c>
      <c r="H60">
        <f>AVERAGE(K43,K47,K53)</f>
        <v>8.151974304644881</v>
      </c>
      <c r="I60">
        <f>STDEV(K43,K47,K53)</f>
        <v>0.03649751789977399</v>
      </c>
      <c r="J60">
        <f>100*(I60/H60)</f>
        <v>0.44771384864373553</v>
      </c>
    </row>
    <row r="61" spans="1:2" ht="12.75">
      <c r="A61" s="6"/>
      <c r="B61" s="27"/>
    </row>
    <row r="62" spans="1:2" ht="12.75">
      <c r="A62" s="6"/>
      <c r="B62" s="27"/>
    </row>
    <row r="63" spans="1:2" ht="12.75">
      <c r="A63" s="6"/>
      <c r="B63" s="27"/>
    </row>
    <row r="64" spans="1:2" ht="12.75">
      <c r="A64" s="6"/>
      <c r="B64" s="27"/>
    </row>
    <row r="65" spans="1:2" ht="12.75">
      <c r="A65" s="6"/>
      <c r="B65" s="27"/>
    </row>
    <row r="66" spans="1:2" ht="12.75">
      <c r="A66" s="6"/>
      <c r="B66" s="27"/>
    </row>
    <row r="67" spans="1:2" ht="12.75">
      <c r="A67" s="6"/>
      <c r="B67" s="27"/>
    </row>
    <row r="68" spans="1:2" ht="12.75">
      <c r="A68" s="6"/>
      <c r="B68" s="27"/>
    </row>
    <row r="69" spans="1:2" ht="12.75">
      <c r="A69" s="6"/>
      <c r="B69" s="27"/>
    </row>
    <row r="70" spans="1:2" ht="12.75">
      <c r="A70" s="6"/>
      <c r="B70" s="27"/>
    </row>
    <row r="71" spans="1:2" ht="12.75">
      <c r="A71" s="6"/>
      <c r="B71" s="27"/>
    </row>
    <row r="72" spans="1:2" ht="12.75">
      <c r="A72" s="6"/>
      <c r="B72" s="27"/>
    </row>
    <row r="73" spans="1:2" ht="12.75">
      <c r="A73" s="6"/>
      <c r="B73" s="27"/>
    </row>
    <row r="74" spans="1:2" ht="12.75">
      <c r="A74" s="6"/>
      <c r="B74" s="27"/>
    </row>
    <row r="75" spans="1:2" ht="12.75">
      <c r="A75" s="6"/>
      <c r="B75" s="27"/>
    </row>
    <row r="76" spans="1:2" ht="12.75">
      <c r="A76" s="6"/>
      <c r="B76" s="27"/>
    </row>
    <row r="77" spans="1:2" ht="12.75">
      <c r="A77" s="6"/>
      <c r="B77" s="27"/>
    </row>
    <row r="78" spans="1:2" ht="12.75">
      <c r="A78" s="6"/>
      <c r="B78" s="27"/>
    </row>
    <row r="79" spans="1:2" ht="12.75">
      <c r="A79" s="6"/>
      <c r="B79" s="27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4" ySplit="1" topLeftCell="E2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6384"/>
    </sheetView>
  </sheetViews>
  <sheetFormatPr defaultColWidth="11.00390625" defaultRowHeight="12.75"/>
  <cols>
    <col min="1" max="1" width="19.375" style="0" bestFit="1" customWidth="1"/>
    <col min="2" max="2" width="5.875" style="0" bestFit="1" customWidth="1"/>
    <col min="3" max="3" width="5.00390625" style="0" bestFit="1" customWidth="1"/>
    <col min="4" max="4" width="13.625" style="0" bestFit="1" customWidth="1"/>
    <col min="5" max="5" width="18.625" style="0" bestFit="1" customWidth="1"/>
    <col min="6" max="6" width="14.625" style="0" bestFit="1" customWidth="1"/>
    <col min="7" max="7" width="15.875" style="0" bestFit="1" customWidth="1"/>
    <col min="8" max="8" width="24.375" style="0" bestFit="1" customWidth="1"/>
    <col min="9" max="9" width="15.375" style="0" bestFit="1" customWidth="1"/>
    <col min="10" max="10" width="16.875" style="0" bestFit="1" customWidth="1"/>
    <col min="11" max="11" width="12.125" style="0" bestFit="1" customWidth="1"/>
    <col min="12" max="12" width="17.875" style="0" bestFit="1" customWidth="1"/>
    <col min="13" max="13" width="14.00390625" style="0" bestFit="1" customWidth="1"/>
    <col min="14" max="14" width="22.375" style="0" bestFit="1" customWidth="1"/>
    <col min="15" max="15" width="21.00390625" style="0" bestFit="1" customWidth="1"/>
    <col min="16" max="17" width="12.125" style="0" bestFit="1" customWidth="1"/>
  </cols>
  <sheetData>
    <row r="1" spans="1:17" s="9" customFormat="1" ht="12.75">
      <c r="A1" s="9" t="s">
        <v>68</v>
      </c>
      <c r="B1" s="9" t="s">
        <v>69</v>
      </c>
      <c r="C1" s="9" t="s">
        <v>70</v>
      </c>
      <c r="D1" s="9" t="s">
        <v>91</v>
      </c>
      <c r="E1" s="9" t="s">
        <v>71</v>
      </c>
      <c r="F1" s="9" t="s">
        <v>72</v>
      </c>
      <c r="G1" s="9" t="s">
        <v>208</v>
      </c>
      <c r="H1" s="9" t="s">
        <v>209</v>
      </c>
      <c r="I1" s="9" t="s">
        <v>284</v>
      </c>
      <c r="J1" s="9" t="s">
        <v>215</v>
      </c>
      <c r="K1" s="9" t="s">
        <v>216</v>
      </c>
      <c r="L1" s="9" t="s">
        <v>290</v>
      </c>
      <c r="M1" s="14" t="s">
        <v>178</v>
      </c>
      <c r="N1" s="9" t="s">
        <v>213</v>
      </c>
      <c r="O1" s="9" t="s">
        <v>214</v>
      </c>
      <c r="P1" s="9" t="s">
        <v>152</v>
      </c>
      <c r="Q1" s="9" t="s">
        <v>153</v>
      </c>
    </row>
    <row r="2" spans="1:17" ht="12.75">
      <c r="A2">
        <v>1</v>
      </c>
      <c r="B2" t="s">
        <v>286</v>
      </c>
      <c r="D2" s="3" t="s">
        <v>139</v>
      </c>
      <c r="E2" s="3">
        <v>15</v>
      </c>
      <c r="F2">
        <v>45.668</v>
      </c>
      <c r="G2">
        <v>1.9436</v>
      </c>
      <c r="H2">
        <v>47.575</v>
      </c>
      <c r="I2">
        <f aca="true" t="shared" si="0" ref="I2:I40">H2-F2</f>
        <v>1.9070000000000036</v>
      </c>
      <c r="J2">
        <v>46.0349</v>
      </c>
      <c r="K2">
        <f aca="true" t="shared" si="1" ref="K2:K40">J2-F2</f>
        <v>0.3669000000000011</v>
      </c>
      <c r="L2">
        <v>250</v>
      </c>
      <c r="M2">
        <v>147.72921042594902</v>
      </c>
      <c r="N2">
        <f>((M2*L2)/10000)/I2</f>
        <v>1.9366702992389715</v>
      </c>
      <c r="O2">
        <f>(I2/G2)*100</f>
        <v>98.11689648075755</v>
      </c>
      <c r="P2">
        <f aca="true" t="shared" si="2" ref="P2:P40">((G2-I2)/G2)*100</f>
        <v>1.883103519242458</v>
      </c>
      <c r="Q2">
        <f>(K2/I2)*100</f>
        <v>19.23964341898272</v>
      </c>
    </row>
    <row r="3" spans="1:17" ht="12.75">
      <c r="A3">
        <v>2</v>
      </c>
      <c r="B3" t="s">
        <v>286</v>
      </c>
      <c r="D3" s="3" t="s">
        <v>139</v>
      </c>
      <c r="E3" s="3">
        <v>12</v>
      </c>
      <c r="F3">
        <v>39.2307</v>
      </c>
      <c r="G3">
        <v>1.9499</v>
      </c>
      <c r="H3">
        <v>41.1389</v>
      </c>
      <c r="I3">
        <f t="shared" si="0"/>
        <v>1.9082000000000008</v>
      </c>
      <c r="J3">
        <v>39.5808</v>
      </c>
      <c r="K3">
        <f t="shared" si="1"/>
        <v>0.35010000000000474</v>
      </c>
      <c r="L3">
        <v>250</v>
      </c>
      <c r="M3">
        <v>151.61013820977598</v>
      </c>
      <c r="N3">
        <f aca="true" t="shared" si="3" ref="N3:N40">((M3*L3)/10000)/I3</f>
        <v>1.9862977964806614</v>
      </c>
      <c r="O3">
        <f aca="true" t="shared" si="4" ref="O3:O40">(I3/G3)*100</f>
        <v>97.8614287912201</v>
      </c>
      <c r="P3">
        <f t="shared" si="2"/>
        <v>2.138571208779896</v>
      </c>
      <c r="Q3">
        <f aca="true" t="shared" si="5" ref="Q3:Q40">(K3/I3)*100</f>
        <v>18.347133424169616</v>
      </c>
    </row>
    <row r="4" spans="1:17" ht="12.75">
      <c r="A4">
        <v>3</v>
      </c>
      <c r="B4" t="s">
        <v>286</v>
      </c>
      <c r="D4" s="3" t="s">
        <v>139</v>
      </c>
      <c r="E4" s="3">
        <v>24</v>
      </c>
      <c r="F4">
        <v>38.6429</v>
      </c>
      <c r="G4">
        <v>2.0517</v>
      </c>
      <c r="H4">
        <v>40.6551</v>
      </c>
      <c r="I4">
        <f t="shared" si="0"/>
        <v>2.0122</v>
      </c>
      <c r="J4">
        <v>39.0168</v>
      </c>
      <c r="K4">
        <f t="shared" si="1"/>
        <v>0.3739000000000061</v>
      </c>
      <c r="L4">
        <v>250</v>
      </c>
      <c r="M4">
        <v>195.42761117249998</v>
      </c>
      <c r="N4">
        <f t="shared" si="3"/>
        <v>2.4280341314543783</v>
      </c>
      <c r="O4">
        <f t="shared" si="4"/>
        <v>98.07476726616953</v>
      </c>
      <c r="P4">
        <f t="shared" si="2"/>
        <v>1.9252327338304758</v>
      </c>
      <c r="Q4">
        <f t="shared" si="5"/>
        <v>18.581651923268367</v>
      </c>
    </row>
    <row r="5" spans="1:17" ht="12.75">
      <c r="A5">
        <v>4</v>
      </c>
      <c r="B5" t="s">
        <v>286</v>
      </c>
      <c r="C5" t="s">
        <v>287</v>
      </c>
      <c r="D5">
        <v>1</v>
      </c>
      <c r="E5" s="3">
        <v>14</v>
      </c>
      <c r="F5">
        <v>35.896</v>
      </c>
      <c r="G5">
        <v>1.9678</v>
      </c>
      <c r="H5">
        <v>37.8462</v>
      </c>
      <c r="I5">
        <f t="shared" si="0"/>
        <v>1.9502000000000024</v>
      </c>
      <c r="J5">
        <v>36.2445</v>
      </c>
      <c r="K5">
        <f t="shared" si="1"/>
        <v>0.34850000000000136</v>
      </c>
      <c r="L5">
        <v>250</v>
      </c>
      <c r="M5">
        <v>125.17288447835855</v>
      </c>
      <c r="N5">
        <f t="shared" si="3"/>
        <v>1.6046159942359552</v>
      </c>
      <c r="O5">
        <f t="shared" si="4"/>
        <v>99.10560016261827</v>
      </c>
      <c r="P5">
        <f t="shared" si="2"/>
        <v>0.8943998373817267</v>
      </c>
      <c r="Q5">
        <f t="shared" si="5"/>
        <v>17.869962055173875</v>
      </c>
    </row>
    <row r="6" spans="1:17" ht="12.75">
      <c r="A6">
        <v>5</v>
      </c>
      <c r="B6" t="s">
        <v>286</v>
      </c>
      <c r="C6" t="s">
        <v>167</v>
      </c>
      <c r="D6">
        <v>1</v>
      </c>
      <c r="E6" s="3">
        <v>15</v>
      </c>
      <c r="F6">
        <v>45.6678</v>
      </c>
      <c r="G6">
        <v>1.9846</v>
      </c>
      <c r="H6">
        <v>47.6352</v>
      </c>
      <c r="I6">
        <f t="shared" si="0"/>
        <v>1.9673999999999978</v>
      </c>
      <c r="J6">
        <v>46.0143</v>
      </c>
      <c r="K6">
        <f t="shared" si="1"/>
        <v>0.3464999999999989</v>
      </c>
      <c r="L6">
        <v>250</v>
      </c>
      <c r="M6">
        <v>145.140602698941</v>
      </c>
      <c r="N6">
        <f t="shared" si="3"/>
        <v>1.844319948903898</v>
      </c>
      <c r="O6">
        <f t="shared" si="4"/>
        <v>99.13332661493489</v>
      </c>
      <c r="P6">
        <f t="shared" si="2"/>
        <v>0.8666733850651065</v>
      </c>
      <c r="Q6">
        <f t="shared" si="5"/>
        <v>17.61207685269896</v>
      </c>
    </row>
    <row r="7" spans="1:17" ht="12.75">
      <c r="A7">
        <v>6</v>
      </c>
      <c r="B7" t="s">
        <v>286</v>
      </c>
      <c r="C7" t="s">
        <v>167</v>
      </c>
      <c r="D7">
        <v>1</v>
      </c>
      <c r="E7" s="3">
        <v>33</v>
      </c>
      <c r="F7">
        <v>38.5768</v>
      </c>
      <c r="G7">
        <v>2.0806</v>
      </c>
      <c r="H7">
        <v>40.6399</v>
      </c>
      <c r="I7">
        <f t="shared" si="0"/>
        <v>2.0630999999999986</v>
      </c>
      <c r="J7">
        <v>38.9174</v>
      </c>
      <c r="K7">
        <f t="shared" si="1"/>
        <v>0.340600000000002</v>
      </c>
      <c r="L7">
        <v>250</v>
      </c>
      <c r="M7">
        <v>129.19740306065347</v>
      </c>
      <c r="N7">
        <f t="shared" si="3"/>
        <v>1.5655736883894813</v>
      </c>
      <c r="O7">
        <f t="shared" si="4"/>
        <v>99.15889647217142</v>
      </c>
      <c r="P7">
        <f t="shared" si="2"/>
        <v>0.8411035278285784</v>
      </c>
      <c r="Q7">
        <f t="shared" si="5"/>
        <v>16.509136735979947</v>
      </c>
    </row>
    <row r="8" spans="1:17" ht="12.75">
      <c r="A8">
        <v>7</v>
      </c>
      <c r="B8" t="s">
        <v>286</v>
      </c>
      <c r="C8" t="s">
        <v>261</v>
      </c>
      <c r="D8">
        <v>2</v>
      </c>
      <c r="E8" s="3">
        <v>10</v>
      </c>
      <c r="F8">
        <v>39.9015</v>
      </c>
      <c r="G8">
        <v>1.8291</v>
      </c>
      <c r="H8">
        <v>41.7039</v>
      </c>
      <c r="I8">
        <f t="shared" si="0"/>
        <v>1.8023999999999987</v>
      </c>
      <c r="J8">
        <v>40.2755</v>
      </c>
      <c r="K8">
        <f t="shared" si="1"/>
        <v>0.37400000000000233</v>
      </c>
      <c r="L8">
        <v>250</v>
      </c>
      <c r="M8">
        <v>151.61013820977598</v>
      </c>
      <c r="N8">
        <f t="shared" si="3"/>
        <v>2.1028925073482037</v>
      </c>
      <c r="O8">
        <f t="shared" si="4"/>
        <v>98.54026570444474</v>
      </c>
      <c r="P8">
        <f t="shared" si="2"/>
        <v>1.459734295555261</v>
      </c>
      <c r="Q8">
        <f t="shared" si="5"/>
        <v>20.750110963160378</v>
      </c>
    </row>
    <row r="9" spans="1:17" ht="12.75">
      <c r="A9">
        <v>8</v>
      </c>
      <c r="B9" t="s">
        <v>286</v>
      </c>
      <c r="C9" t="s">
        <v>261</v>
      </c>
      <c r="D9">
        <v>2</v>
      </c>
      <c r="E9" s="3">
        <v>19</v>
      </c>
      <c r="F9">
        <v>39.2312</v>
      </c>
      <c r="G9">
        <v>1.8885</v>
      </c>
      <c r="H9">
        <v>41.0894</v>
      </c>
      <c r="I9">
        <f t="shared" si="0"/>
        <v>1.8581999999999965</v>
      </c>
      <c r="J9">
        <v>39.6333</v>
      </c>
      <c r="K9">
        <f t="shared" si="1"/>
        <v>0.40209999999999724</v>
      </c>
      <c r="L9">
        <v>250</v>
      </c>
      <c r="M9">
        <v>176.13406542772498</v>
      </c>
      <c r="N9">
        <f t="shared" si="3"/>
        <v>2.369686597617658</v>
      </c>
      <c r="O9">
        <f t="shared" si="4"/>
        <v>98.3955520254168</v>
      </c>
      <c r="P9">
        <f t="shared" si="2"/>
        <v>1.60444797458319</v>
      </c>
      <c r="Q9">
        <f t="shared" si="5"/>
        <v>21.639220751264556</v>
      </c>
    </row>
    <row r="10" spans="1:17" ht="12.75">
      <c r="A10">
        <v>9</v>
      </c>
      <c r="B10" t="s">
        <v>286</v>
      </c>
      <c r="C10" t="s">
        <v>261</v>
      </c>
      <c r="D10">
        <v>2</v>
      </c>
      <c r="E10" s="3">
        <v>20</v>
      </c>
      <c r="F10">
        <v>46.2966</v>
      </c>
      <c r="G10">
        <v>1.8982</v>
      </c>
      <c r="H10">
        <v>48.1668</v>
      </c>
      <c r="I10">
        <f t="shared" si="0"/>
        <v>1.870200000000004</v>
      </c>
      <c r="J10">
        <v>46.7078</v>
      </c>
      <c r="K10">
        <f t="shared" si="1"/>
        <v>0.4112000000000009</v>
      </c>
      <c r="L10">
        <v>250</v>
      </c>
      <c r="M10">
        <v>178.70997679194898</v>
      </c>
      <c r="N10">
        <f t="shared" si="3"/>
        <v>2.3889153137625465</v>
      </c>
      <c r="O10">
        <f t="shared" si="4"/>
        <v>98.52491834369424</v>
      </c>
      <c r="P10">
        <f t="shared" si="2"/>
        <v>1.4750816563057647</v>
      </c>
      <c r="Q10">
        <f t="shared" si="5"/>
        <v>21.986953267030266</v>
      </c>
    </row>
    <row r="11" spans="1:17" ht="12.75">
      <c r="A11">
        <v>10</v>
      </c>
      <c r="B11" t="s">
        <v>286</v>
      </c>
      <c r="C11" t="s">
        <v>166</v>
      </c>
      <c r="D11">
        <v>3</v>
      </c>
      <c r="E11" s="3">
        <v>29</v>
      </c>
      <c r="F11">
        <v>40.1978</v>
      </c>
      <c r="G11">
        <v>1.8542</v>
      </c>
      <c r="H11">
        <v>42.0227</v>
      </c>
      <c r="I11">
        <f t="shared" si="0"/>
        <v>1.8248999999999995</v>
      </c>
      <c r="J11">
        <v>40.5826</v>
      </c>
      <c r="K11">
        <f t="shared" si="1"/>
        <v>0.3847999999999985</v>
      </c>
      <c r="L11">
        <v>250</v>
      </c>
      <c r="M11">
        <v>98.364740443125</v>
      </c>
      <c r="N11" s="41">
        <f t="shared" si="3"/>
        <v>1.347536035442011</v>
      </c>
      <c r="O11">
        <f t="shared" si="4"/>
        <v>98.41980368892241</v>
      </c>
      <c r="P11">
        <f t="shared" si="2"/>
        <v>1.5801963110775832</v>
      </c>
      <c r="Q11">
        <f t="shared" si="5"/>
        <v>21.08608690887164</v>
      </c>
    </row>
    <row r="12" spans="1:17" ht="12.75">
      <c r="A12">
        <v>11</v>
      </c>
      <c r="B12" t="s">
        <v>286</v>
      </c>
      <c r="C12" t="s">
        <v>166</v>
      </c>
      <c r="D12">
        <v>3</v>
      </c>
      <c r="E12" s="3">
        <v>24</v>
      </c>
      <c r="F12">
        <v>38.644</v>
      </c>
      <c r="G12">
        <v>1.9377</v>
      </c>
      <c r="H12">
        <v>40.5418</v>
      </c>
      <c r="I12">
        <f t="shared" si="0"/>
        <v>1.8978000000000037</v>
      </c>
      <c r="J12">
        <v>39.0237</v>
      </c>
      <c r="K12">
        <f t="shared" si="1"/>
        <v>0.3796999999999997</v>
      </c>
      <c r="L12">
        <v>250</v>
      </c>
      <c r="M12">
        <v>209.538386804541</v>
      </c>
      <c r="N12" s="41">
        <f t="shared" si="3"/>
        <v>2.760280150760625</v>
      </c>
      <c r="O12">
        <f t="shared" si="4"/>
        <v>97.94085771791318</v>
      </c>
      <c r="P12">
        <f t="shared" si="2"/>
        <v>2.059142282086818</v>
      </c>
      <c r="Q12">
        <f t="shared" si="5"/>
        <v>20.007376962798975</v>
      </c>
    </row>
    <row r="13" spans="1:17" ht="12.75">
      <c r="A13">
        <v>12</v>
      </c>
      <c r="B13" t="s">
        <v>286</v>
      </c>
      <c r="C13" t="s">
        <v>166</v>
      </c>
      <c r="D13">
        <v>3</v>
      </c>
      <c r="E13" s="3">
        <v>12</v>
      </c>
      <c r="F13">
        <v>41.6245</v>
      </c>
      <c r="G13">
        <v>1.9106</v>
      </c>
      <c r="H13">
        <v>43.5009</v>
      </c>
      <c r="I13">
        <f t="shared" si="0"/>
        <v>1.8764000000000038</v>
      </c>
      <c r="J13">
        <v>42.0065</v>
      </c>
      <c r="K13">
        <f t="shared" si="1"/>
        <v>0.382000000000005</v>
      </c>
      <c r="L13">
        <v>250</v>
      </c>
      <c r="M13">
        <v>156.7810054824</v>
      </c>
      <c r="N13" s="14">
        <f t="shared" si="3"/>
        <v>2.088853728981023</v>
      </c>
      <c r="O13">
        <f t="shared" si="4"/>
        <v>98.2099863917096</v>
      </c>
      <c r="P13">
        <f t="shared" si="2"/>
        <v>1.7900136082903921</v>
      </c>
      <c r="Q13">
        <f t="shared" si="5"/>
        <v>20.358132594329792</v>
      </c>
    </row>
    <row r="14" spans="1:17" ht="12.75">
      <c r="A14">
        <v>13</v>
      </c>
      <c r="B14" t="s">
        <v>286</v>
      </c>
      <c r="C14" t="s">
        <v>261</v>
      </c>
      <c r="D14">
        <v>4</v>
      </c>
      <c r="E14">
        <v>11</v>
      </c>
      <c r="F14">
        <v>42.9825</v>
      </c>
      <c r="G14">
        <v>1.9054</v>
      </c>
      <c r="H14">
        <v>44.8485</v>
      </c>
      <c r="I14">
        <f t="shared" si="0"/>
        <v>1.8659999999999997</v>
      </c>
      <c r="J14">
        <v>43.3155</v>
      </c>
      <c r="K14">
        <f t="shared" si="1"/>
        <v>0.3329999999999984</v>
      </c>
      <c r="L14">
        <v>250</v>
      </c>
      <c r="M14">
        <v>156.7810054824</v>
      </c>
      <c r="N14">
        <f t="shared" si="3"/>
        <v>2.100495786205788</v>
      </c>
      <c r="O14">
        <f t="shared" si="4"/>
        <v>97.93219271544031</v>
      </c>
      <c r="P14">
        <f t="shared" si="2"/>
        <v>2.0678072845596898</v>
      </c>
      <c r="Q14">
        <f t="shared" si="5"/>
        <v>17.845659163987058</v>
      </c>
    </row>
    <row r="15" spans="1:17" ht="12.75">
      <c r="A15">
        <v>14</v>
      </c>
      <c r="B15" t="s">
        <v>286</v>
      </c>
      <c r="C15" t="s">
        <v>261</v>
      </c>
      <c r="D15">
        <v>4</v>
      </c>
      <c r="E15">
        <v>1</v>
      </c>
      <c r="F15">
        <v>41.4171</v>
      </c>
      <c r="G15">
        <v>1.9412</v>
      </c>
      <c r="H15">
        <v>43.3206</v>
      </c>
      <c r="I15">
        <f t="shared" si="0"/>
        <v>1.903500000000001</v>
      </c>
      <c r="J15">
        <v>41.7441</v>
      </c>
      <c r="K15">
        <f t="shared" si="1"/>
        <v>0.3270000000000053</v>
      </c>
      <c r="L15">
        <v>250</v>
      </c>
      <c r="M15">
        <v>155.488685425581</v>
      </c>
      <c r="N15">
        <f t="shared" si="3"/>
        <v>2.042141915229589</v>
      </c>
      <c r="O15">
        <f t="shared" si="4"/>
        <v>98.05790232845668</v>
      </c>
      <c r="P15">
        <f t="shared" si="2"/>
        <v>1.9420976715433216</v>
      </c>
      <c r="Q15">
        <f t="shared" si="5"/>
        <v>17.17888100866851</v>
      </c>
    </row>
    <row r="16" spans="1:17" ht="12.75">
      <c r="A16">
        <v>15</v>
      </c>
      <c r="B16" t="s">
        <v>286</v>
      </c>
      <c r="C16" t="s">
        <v>261</v>
      </c>
      <c r="D16">
        <v>4</v>
      </c>
      <c r="E16">
        <v>8</v>
      </c>
      <c r="F16">
        <v>37.488</v>
      </c>
      <c r="G16">
        <v>1.9417</v>
      </c>
      <c r="H16">
        <v>39.3891</v>
      </c>
      <c r="I16">
        <f t="shared" si="0"/>
        <v>1.9010999999999996</v>
      </c>
      <c r="J16">
        <v>37.8351</v>
      </c>
      <c r="K16">
        <f t="shared" si="1"/>
        <v>0.3470999999999975</v>
      </c>
      <c r="L16">
        <v>250</v>
      </c>
      <c r="M16">
        <v>129.716510625659</v>
      </c>
      <c r="N16">
        <f t="shared" si="3"/>
        <v>1.7058086190318633</v>
      </c>
      <c r="O16">
        <f t="shared" si="4"/>
        <v>97.90904877169488</v>
      </c>
      <c r="P16">
        <f t="shared" si="2"/>
        <v>2.090951228305115</v>
      </c>
      <c r="Q16">
        <f t="shared" si="5"/>
        <v>18.25785071800524</v>
      </c>
    </row>
    <row r="17" spans="1:17" ht="12.75">
      <c r="A17">
        <v>16</v>
      </c>
      <c r="B17" t="s">
        <v>286</v>
      </c>
      <c r="C17" t="s">
        <v>167</v>
      </c>
      <c r="D17">
        <v>5</v>
      </c>
      <c r="E17">
        <v>13</v>
      </c>
      <c r="F17">
        <v>42.038</v>
      </c>
      <c r="G17">
        <v>1.9532</v>
      </c>
      <c r="H17">
        <v>43.9426</v>
      </c>
      <c r="I17">
        <f t="shared" si="0"/>
        <v>1.904600000000002</v>
      </c>
      <c r="J17">
        <v>42.3453</v>
      </c>
      <c r="K17">
        <f t="shared" si="1"/>
        <v>0.307300000000005</v>
      </c>
      <c r="L17">
        <v>250</v>
      </c>
      <c r="M17">
        <v>124.393651794525</v>
      </c>
      <c r="N17">
        <f t="shared" si="3"/>
        <v>1.6328054682679416</v>
      </c>
      <c r="O17">
        <f t="shared" si="4"/>
        <v>97.51177554781907</v>
      </c>
      <c r="P17">
        <f t="shared" si="2"/>
        <v>2.4882244521809325</v>
      </c>
      <c r="Q17">
        <f t="shared" si="5"/>
        <v>16.134621442822887</v>
      </c>
    </row>
    <row r="18" spans="1:17" ht="12.75">
      <c r="A18">
        <v>17</v>
      </c>
      <c r="B18" t="s">
        <v>286</v>
      </c>
      <c r="C18" t="s">
        <v>167</v>
      </c>
      <c r="D18">
        <v>5</v>
      </c>
      <c r="E18">
        <v>26</v>
      </c>
      <c r="F18">
        <v>44.228</v>
      </c>
      <c r="G18">
        <v>1.9721</v>
      </c>
      <c r="H18">
        <v>46.1503</v>
      </c>
      <c r="I18">
        <f t="shared" si="0"/>
        <v>1.9223</v>
      </c>
      <c r="J18">
        <v>44.5406</v>
      </c>
      <c r="K18">
        <f t="shared" si="1"/>
        <v>0.3125999999999962</v>
      </c>
      <c r="L18">
        <v>250</v>
      </c>
      <c r="M18">
        <v>127.51001119353396</v>
      </c>
      <c r="N18">
        <f t="shared" si="3"/>
        <v>1.6583000987558387</v>
      </c>
      <c r="O18">
        <f t="shared" si="4"/>
        <v>97.47477308452918</v>
      </c>
      <c r="P18">
        <f t="shared" si="2"/>
        <v>2.5252269154708213</v>
      </c>
      <c r="Q18">
        <f t="shared" si="5"/>
        <v>16.261769754980815</v>
      </c>
    </row>
    <row r="19" spans="1:17" ht="12.75">
      <c r="A19">
        <v>18</v>
      </c>
      <c r="B19" t="s">
        <v>286</v>
      </c>
      <c r="C19" t="s">
        <v>167</v>
      </c>
      <c r="D19">
        <v>5</v>
      </c>
      <c r="E19">
        <v>7</v>
      </c>
      <c r="F19">
        <v>41.6115</v>
      </c>
      <c r="G19">
        <v>1.9833</v>
      </c>
      <c r="H19">
        <v>43.542</v>
      </c>
      <c r="I19">
        <f t="shared" si="0"/>
        <v>1.930500000000002</v>
      </c>
      <c r="J19">
        <v>41.9406</v>
      </c>
      <c r="K19">
        <f t="shared" si="1"/>
        <v>0.32910000000000394</v>
      </c>
      <c r="L19">
        <v>250</v>
      </c>
      <c r="M19">
        <v>96.79964122590323</v>
      </c>
      <c r="N19">
        <f t="shared" si="3"/>
        <v>1.253556607432053</v>
      </c>
      <c r="O19">
        <f t="shared" si="4"/>
        <v>97.33777038269561</v>
      </c>
      <c r="P19">
        <f t="shared" si="2"/>
        <v>2.6622296173043893</v>
      </c>
      <c r="Q19">
        <f t="shared" si="5"/>
        <v>17.047397047397233</v>
      </c>
    </row>
    <row r="20" spans="1:17" ht="12.75">
      <c r="A20">
        <v>19</v>
      </c>
      <c r="B20" t="s">
        <v>286</v>
      </c>
      <c r="C20" t="s">
        <v>169</v>
      </c>
      <c r="D20">
        <v>6</v>
      </c>
      <c r="E20">
        <v>27</v>
      </c>
      <c r="F20">
        <v>38.8239</v>
      </c>
      <c r="G20">
        <v>1.9483</v>
      </c>
      <c r="H20">
        <v>40.7068</v>
      </c>
      <c r="I20">
        <f t="shared" si="0"/>
        <v>1.8828999999999994</v>
      </c>
      <c r="J20">
        <v>39.1673</v>
      </c>
      <c r="K20">
        <f t="shared" si="1"/>
        <v>0.3433999999999955</v>
      </c>
      <c r="L20">
        <v>250</v>
      </c>
      <c r="M20">
        <v>128.0292563024696</v>
      </c>
      <c r="N20">
        <f t="shared" si="3"/>
        <v>1.699894528419853</v>
      </c>
      <c r="O20">
        <f t="shared" si="4"/>
        <v>96.64322742904066</v>
      </c>
      <c r="P20">
        <f t="shared" si="2"/>
        <v>3.3567725709593272</v>
      </c>
      <c r="Q20">
        <f t="shared" si="5"/>
        <v>18.23782463221603</v>
      </c>
    </row>
    <row r="21" spans="1:17" ht="12.75">
      <c r="A21">
        <v>20</v>
      </c>
      <c r="B21" t="s">
        <v>286</v>
      </c>
      <c r="C21" t="s">
        <v>170</v>
      </c>
      <c r="D21">
        <v>6</v>
      </c>
      <c r="E21">
        <v>34</v>
      </c>
      <c r="F21">
        <v>40.1123</v>
      </c>
      <c r="G21">
        <v>1.9449</v>
      </c>
      <c r="H21">
        <v>41.9903</v>
      </c>
      <c r="I21">
        <f t="shared" si="0"/>
        <v>1.8780000000000001</v>
      </c>
      <c r="J21">
        <v>40.4816</v>
      </c>
      <c r="K21">
        <f t="shared" si="1"/>
        <v>0.3693000000000026</v>
      </c>
      <c r="L21">
        <v>250</v>
      </c>
      <c r="M21">
        <v>109.43995557436723</v>
      </c>
      <c r="N21">
        <f t="shared" si="3"/>
        <v>1.4568684181891272</v>
      </c>
      <c r="O21">
        <f t="shared" si="4"/>
        <v>96.56023445935524</v>
      </c>
      <c r="P21">
        <f t="shared" si="2"/>
        <v>3.439765540644761</v>
      </c>
      <c r="Q21">
        <f t="shared" si="5"/>
        <v>19.664536741214196</v>
      </c>
    </row>
    <row r="22" spans="1:17" ht="12.75">
      <c r="A22">
        <v>21</v>
      </c>
      <c r="B22" t="s">
        <v>286</v>
      </c>
      <c r="C22" t="s">
        <v>171</v>
      </c>
      <c r="D22">
        <v>6</v>
      </c>
      <c r="E22">
        <v>5</v>
      </c>
      <c r="F22">
        <v>43.4151</v>
      </c>
      <c r="G22">
        <v>1.9497</v>
      </c>
      <c r="H22">
        <v>45.2996</v>
      </c>
      <c r="I22">
        <f t="shared" si="0"/>
        <v>1.8844999999999956</v>
      </c>
      <c r="J22">
        <v>43.7678</v>
      </c>
      <c r="K22">
        <f t="shared" si="1"/>
        <v>0.3526999999999987</v>
      </c>
      <c r="L22">
        <v>250</v>
      </c>
      <c r="M22">
        <v>151.61013820977598</v>
      </c>
      <c r="N22">
        <f t="shared" si="3"/>
        <v>2.011278034090957</v>
      </c>
      <c r="O22">
        <f t="shared" si="4"/>
        <v>96.65589577883755</v>
      </c>
      <c r="P22">
        <f t="shared" si="2"/>
        <v>3.3441042211624543</v>
      </c>
      <c r="Q22">
        <f t="shared" si="5"/>
        <v>18.715839745290502</v>
      </c>
    </row>
    <row r="23" spans="1:17" ht="12.75">
      <c r="A23">
        <v>22</v>
      </c>
      <c r="B23" t="s">
        <v>286</v>
      </c>
      <c r="C23" t="s">
        <v>261</v>
      </c>
      <c r="D23">
        <v>7</v>
      </c>
      <c r="E23">
        <v>18</v>
      </c>
      <c r="F23">
        <v>42.0037</v>
      </c>
      <c r="G23">
        <v>1.829</v>
      </c>
      <c r="H23">
        <v>43.797</v>
      </c>
      <c r="I23">
        <f t="shared" si="0"/>
        <v>1.793299999999995</v>
      </c>
      <c r="J23">
        <v>42.4731</v>
      </c>
      <c r="K23">
        <f t="shared" si="1"/>
        <v>0.46940000000000026</v>
      </c>
      <c r="L23">
        <v>250</v>
      </c>
      <c r="M23">
        <v>150.316760122725</v>
      </c>
      <c r="N23">
        <f t="shared" si="3"/>
        <v>2.095532818305992</v>
      </c>
      <c r="O23">
        <f t="shared" si="4"/>
        <v>98.04811372334582</v>
      </c>
      <c r="P23">
        <f t="shared" si="2"/>
        <v>1.95188627665418</v>
      </c>
      <c r="Q23">
        <f t="shared" si="5"/>
        <v>26.175207717615656</v>
      </c>
    </row>
    <row r="24" spans="1:17" ht="12.75">
      <c r="A24">
        <v>23</v>
      </c>
      <c r="B24" t="s">
        <v>286</v>
      </c>
      <c r="C24" t="s">
        <v>261</v>
      </c>
      <c r="D24">
        <v>7</v>
      </c>
      <c r="E24">
        <v>6</v>
      </c>
      <c r="F24">
        <v>41.2603</v>
      </c>
      <c r="G24">
        <v>1.8307</v>
      </c>
      <c r="H24">
        <v>43.0565</v>
      </c>
      <c r="I24">
        <f t="shared" si="0"/>
        <v>1.796199999999999</v>
      </c>
      <c r="J24">
        <v>41.7403</v>
      </c>
      <c r="K24">
        <f t="shared" si="1"/>
        <v>0.4799999999999969</v>
      </c>
      <c r="L24">
        <v>250</v>
      </c>
      <c r="M24">
        <v>173.069056884</v>
      </c>
      <c r="N24">
        <f t="shared" si="3"/>
        <v>2.4088221924618654</v>
      </c>
      <c r="O24">
        <f t="shared" si="4"/>
        <v>98.11547495493521</v>
      </c>
      <c r="P24">
        <f t="shared" si="2"/>
        <v>1.8845250450647888</v>
      </c>
      <c r="Q24">
        <f t="shared" si="5"/>
        <v>26.72308206213101</v>
      </c>
    </row>
    <row r="25" spans="1:17" ht="12.75">
      <c r="A25">
        <v>24</v>
      </c>
      <c r="B25" t="s">
        <v>286</v>
      </c>
      <c r="C25" t="s">
        <v>261</v>
      </c>
      <c r="D25">
        <v>7</v>
      </c>
      <c r="E25">
        <v>21</v>
      </c>
      <c r="F25">
        <v>41.8624</v>
      </c>
      <c r="G25">
        <v>1.8945</v>
      </c>
      <c r="H25">
        <v>43.7207</v>
      </c>
      <c r="I25">
        <f t="shared" si="0"/>
        <v>1.8582999999999998</v>
      </c>
      <c r="J25">
        <v>42.3803</v>
      </c>
      <c r="K25">
        <f t="shared" si="1"/>
        <v>0.5178999999999974</v>
      </c>
      <c r="L25">
        <v>250</v>
      </c>
      <c r="M25">
        <v>197.35062018149998</v>
      </c>
      <c r="N25">
        <f t="shared" si="3"/>
        <v>2.654988701790615</v>
      </c>
      <c r="O25">
        <f t="shared" si="4"/>
        <v>98.08920559514382</v>
      </c>
      <c r="P25">
        <f t="shared" si="2"/>
        <v>1.9107944048561747</v>
      </c>
      <c r="Q25">
        <f t="shared" si="5"/>
        <v>27.869558198353197</v>
      </c>
    </row>
    <row r="26" spans="1:17" ht="12.75">
      <c r="A26">
        <v>25</v>
      </c>
      <c r="B26" t="s">
        <v>286</v>
      </c>
      <c r="C26" t="s">
        <v>172</v>
      </c>
      <c r="D26">
        <v>8</v>
      </c>
      <c r="E26">
        <v>22</v>
      </c>
      <c r="F26">
        <v>42.0429</v>
      </c>
      <c r="G26">
        <v>1.8399</v>
      </c>
      <c r="H26">
        <v>43.8372</v>
      </c>
      <c r="I26">
        <f t="shared" si="0"/>
        <v>1.7942999999999998</v>
      </c>
      <c r="J26">
        <v>42.4236</v>
      </c>
      <c r="K26">
        <f t="shared" si="1"/>
        <v>0.3806999999999974</v>
      </c>
      <c r="L26">
        <v>250</v>
      </c>
      <c r="M26">
        <v>104.75160918132622</v>
      </c>
      <c r="N26" s="41">
        <f t="shared" si="3"/>
        <v>1.459505227405203</v>
      </c>
      <c r="O26">
        <f t="shared" si="4"/>
        <v>97.52160443502362</v>
      </c>
      <c r="P26">
        <f t="shared" si="2"/>
        <v>2.478395564976374</v>
      </c>
      <c r="Q26">
        <f t="shared" si="5"/>
        <v>21.217187761243792</v>
      </c>
    </row>
    <row r="27" spans="1:17" ht="12.75">
      <c r="A27">
        <v>26</v>
      </c>
      <c r="B27" t="s">
        <v>286</v>
      </c>
      <c r="C27" t="s">
        <v>172</v>
      </c>
      <c r="D27">
        <v>8</v>
      </c>
      <c r="E27">
        <v>2</v>
      </c>
      <c r="F27">
        <v>42.5363</v>
      </c>
      <c r="G27">
        <v>1.8381</v>
      </c>
      <c r="H27">
        <v>44.3338</v>
      </c>
      <c r="I27">
        <f t="shared" si="0"/>
        <v>1.7974999999999994</v>
      </c>
      <c r="J27">
        <v>42.9084</v>
      </c>
      <c r="K27">
        <f t="shared" si="1"/>
        <v>0.3721000000000032</v>
      </c>
      <c r="L27">
        <v>250</v>
      </c>
      <c r="M27">
        <v>170.979068608581</v>
      </c>
      <c r="N27" s="14">
        <f t="shared" si="3"/>
        <v>2.3780120807869407</v>
      </c>
      <c r="O27">
        <f t="shared" si="4"/>
        <v>97.79119743213097</v>
      </c>
      <c r="P27">
        <f t="shared" si="2"/>
        <v>2.2088025678690295</v>
      </c>
      <c r="Q27">
        <f t="shared" si="5"/>
        <v>20.700973574409087</v>
      </c>
    </row>
    <row r="28" spans="1:17" ht="12.75">
      <c r="A28">
        <v>27</v>
      </c>
      <c r="B28" t="s">
        <v>286</v>
      </c>
      <c r="C28" t="s">
        <v>173</v>
      </c>
      <c r="D28">
        <v>8</v>
      </c>
      <c r="E28">
        <v>35</v>
      </c>
      <c r="F28">
        <v>40.9421</v>
      </c>
      <c r="G28">
        <v>2.0483</v>
      </c>
      <c r="H28">
        <v>42.9425</v>
      </c>
      <c r="I28">
        <f t="shared" si="0"/>
        <v>2.000399999999999</v>
      </c>
      <c r="J28">
        <v>41.3984</v>
      </c>
      <c r="K28">
        <f t="shared" si="1"/>
        <v>0.4562999999999988</v>
      </c>
      <c r="L28">
        <v>250</v>
      </c>
      <c r="M28">
        <v>182.57186003159998</v>
      </c>
      <c r="N28" s="14">
        <f t="shared" si="3"/>
        <v>2.2816919120125987</v>
      </c>
      <c r="O28">
        <f t="shared" si="4"/>
        <v>97.66147536981885</v>
      </c>
      <c r="P28">
        <f t="shared" si="2"/>
        <v>2.338524630181161</v>
      </c>
      <c r="Q28">
        <f t="shared" si="5"/>
        <v>22.810437912417466</v>
      </c>
    </row>
    <row r="29" spans="1:17" ht="12.75">
      <c r="A29">
        <v>28</v>
      </c>
      <c r="B29" t="s">
        <v>286</v>
      </c>
      <c r="C29" t="s">
        <v>166</v>
      </c>
      <c r="D29">
        <v>9</v>
      </c>
      <c r="E29">
        <v>12</v>
      </c>
      <c r="F29">
        <v>44.2271</v>
      </c>
      <c r="G29">
        <v>1.9537</v>
      </c>
      <c r="H29">
        <v>46.1262</v>
      </c>
      <c r="I29">
        <f t="shared" si="0"/>
        <v>1.8990999999999971</v>
      </c>
      <c r="J29">
        <v>44.62</v>
      </c>
      <c r="K29">
        <f t="shared" si="1"/>
        <v>0.39289999999999736</v>
      </c>
      <c r="L29">
        <v>250</v>
      </c>
      <c r="M29">
        <v>167.11004366486398</v>
      </c>
      <c r="N29">
        <f t="shared" si="3"/>
        <v>2.199858402201888</v>
      </c>
      <c r="O29">
        <f t="shared" si="4"/>
        <v>97.20530275886765</v>
      </c>
      <c r="P29">
        <f t="shared" si="2"/>
        <v>2.794697241132358</v>
      </c>
      <c r="Q29">
        <f t="shared" si="5"/>
        <v>20.688747301353168</v>
      </c>
    </row>
    <row r="30" spans="1:17" ht="12.75">
      <c r="A30">
        <v>29</v>
      </c>
      <c r="B30" t="s">
        <v>286</v>
      </c>
      <c r="C30" t="s">
        <v>166</v>
      </c>
      <c r="D30">
        <v>9</v>
      </c>
      <c r="E30">
        <v>11</v>
      </c>
      <c r="F30">
        <v>42.9817</v>
      </c>
      <c r="G30">
        <v>1.9312</v>
      </c>
      <c r="H30">
        <v>44.8629</v>
      </c>
      <c r="I30">
        <f t="shared" si="0"/>
        <v>1.8812000000000069</v>
      </c>
      <c r="J30">
        <v>43.3755</v>
      </c>
      <c r="K30">
        <f t="shared" si="1"/>
        <v>0.3938000000000059</v>
      </c>
      <c r="L30">
        <v>250</v>
      </c>
      <c r="M30">
        <v>159.36485207336398</v>
      </c>
      <c r="N30">
        <f t="shared" si="3"/>
        <v>2.1178616318488652</v>
      </c>
      <c r="O30">
        <f t="shared" si="4"/>
        <v>97.41093620546846</v>
      </c>
      <c r="P30">
        <f t="shared" si="2"/>
        <v>2.589063794531543</v>
      </c>
      <c r="Q30">
        <f t="shared" si="5"/>
        <v>20.933446736126115</v>
      </c>
    </row>
    <row r="31" spans="1:17" ht="12.75">
      <c r="A31">
        <v>30</v>
      </c>
      <c r="B31" t="s">
        <v>286</v>
      </c>
      <c r="C31" t="s">
        <v>166</v>
      </c>
      <c r="D31">
        <v>9</v>
      </c>
      <c r="E31">
        <v>10</v>
      </c>
      <c r="F31">
        <v>36.6187</v>
      </c>
      <c r="G31">
        <v>1.9445</v>
      </c>
      <c r="H31">
        <v>38.5133</v>
      </c>
      <c r="I31">
        <f t="shared" si="0"/>
        <v>1.894600000000004</v>
      </c>
      <c r="J31">
        <v>37.0231</v>
      </c>
      <c r="K31">
        <f t="shared" si="1"/>
        <v>0.40440000000000254</v>
      </c>
      <c r="L31">
        <v>250</v>
      </c>
      <c r="M31">
        <v>176.13406542772498</v>
      </c>
      <c r="N31">
        <f t="shared" si="3"/>
        <v>2.3241589969878156</v>
      </c>
      <c r="O31">
        <f t="shared" si="4"/>
        <v>97.4337876060686</v>
      </c>
      <c r="P31">
        <f t="shared" si="2"/>
        <v>2.5662123939313877</v>
      </c>
      <c r="Q31">
        <f t="shared" si="5"/>
        <v>21.344874907632306</v>
      </c>
    </row>
    <row r="32" spans="1:17" ht="12.75">
      <c r="A32">
        <v>31</v>
      </c>
      <c r="B32" t="s">
        <v>286</v>
      </c>
      <c r="C32" t="s">
        <v>165</v>
      </c>
      <c r="D32">
        <v>10</v>
      </c>
      <c r="E32">
        <v>9</v>
      </c>
      <c r="F32">
        <v>42.6011</v>
      </c>
      <c r="G32">
        <v>1.9704</v>
      </c>
      <c r="H32">
        <v>44.5101</v>
      </c>
      <c r="I32">
        <f t="shared" si="0"/>
        <v>1.908999999999999</v>
      </c>
      <c r="J32">
        <v>43.0202</v>
      </c>
      <c r="K32">
        <f t="shared" si="1"/>
        <v>0.41910000000000025</v>
      </c>
      <c r="L32">
        <v>250</v>
      </c>
      <c r="M32">
        <v>164.25913089846</v>
      </c>
      <c r="N32" s="14">
        <f t="shared" si="3"/>
        <v>2.1511148624732854</v>
      </c>
      <c r="O32">
        <f t="shared" si="4"/>
        <v>96.88388144539175</v>
      </c>
      <c r="P32">
        <f t="shared" si="2"/>
        <v>3.116118554608253</v>
      </c>
      <c r="Q32">
        <f t="shared" si="5"/>
        <v>21.953902566788923</v>
      </c>
    </row>
    <row r="33" spans="1:17" ht="12.75">
      <c r="A33">
        <v>32</v>
      </c>
      <c r="B33" t="s">
        <v>286</v>
      </c>
      <c r="C33" t="s">
        <v>140</v>
      </c>
      <c r="D33">
        <v>10</v>
      </c>
      <c r="E33">
        <v>8</v>
      </c>
      <c r="F33">
        <v>43.4148</v>
      </c>
      <c r="G33">
        <v>2.0161</v>
      </c>
      <c r="H33">
        <v>45.366</v>
      </c>
      <c r="I33">
        <f t="shared" si="0"/>
        <v>1.9512</v>
      </c>
      <c r="J33">
        <v>43.8382</v>
      </c>
      <c r="K33">
        <f t="shared" si="1"/>
        <v>0.4234000000000009</v>
      </c>
      <c r="L33">
        <v>250</v>
      </c>
      <c r="M33">
        <v>139.960213154229</v>
      </c>
      <c r="N33" s="41">
        <f t="shared" si="3"/>
        <v>1.7932581636201952</v>
      </c>
      <c r="O33">
        <f t="shared" si="4"/>
        <v>96.7809136451565</v>
      </c>
      <c r="P33">
        <f t="shared" si="2"/>
        <v>3.219086354843497</v>
      </c>
      <c r="Q33">
        <f t="shared" si="5"/>
        <v>21.69946699466999</v>
      </c>
    </row>
    <row r="34" spans="1:17" ht="12.75">
      <c r="A34">
        <v>33</v>
      </c>
      <c r="B34" t="s">
        <v>286</v>
      </c>
      <c r="C34" t="s">
        <v>165</v>
      </c>
      <c r="D34">
        <v>10</v>
      </c>
      <c r="E34">
        <v>7</v>
      </c>
      <c r="F34">
        <v>38.8235</v>
      </c>
      <c r="G34">
        <v>2.0353</v>
      </c>
      <c r="H34">
        <v>40.7856</v>
      </c>
      <c r="I34">
        <f t="shared" si="0"/>
        <v>1.9620999999999995</v>
      </c>
      <c r="J34">
        <v>39.2965</v>
      </c>
      <c r="K34">
        <f t="shared" si="1"/>
        <v>0.472999999999999</v>
      </c>
      <c r="L34">
        <v>250</v>
      </c>
      <c r="M34">
        <v>209.538386804541</v>
      </c>
      <c r="N34" s="41">
        <f t="shared" si="3"/>
        <v>2.669822980537957</v>
      </c>
      <c r="O34">
        <f t="shared" si="4"/>
        <v>96.40347860266299</v>
      </c>
      <c r="P34">
        <f t="shared" si="2"/>
        <v>3.5965213973370207</v>
      </c>
      <c r="Q34">
        <f t="shared" si="5"/>
        <v>24.106824320880644</v>
      </c>
    </row>
    <row r="35" spans="1:17" ht="12.75">
      <c r="A35">
        <v>34</v>
      </c>
      <c r="B35" t="s">
        <v>286</v>
      </c>
      <c r="C35" t="s">
        <v>167</v>
      </c>
      <c r="D35">
        <v>11</v>
      </c>
      <c r="E35">
        <v>6</v>
      </c>
      <c r="F35">
        <v>41.4166</v>
      </c>
      <c r="G35">
        <v>2.0558</v>
      </c>
      <c r="H35">
        <v>43.426</v>
      </c>
      <c r="I35">
        <f t="shared" si="0"/>
        <v>2.0093999999999994</v>
      </c>
      <c r="J35">
        <v>41.781</v>
      </c>
      <c r="K35">
        <f t="shared" si="1"/>
        <v>0.3643999999999963</v>
      </c>
      <c r="L35">
        <v>250</v>
      </c>
      <c r="M35">
        <v>146.860007812035</v>
      </c>
      <c r="N35">
        <f t="shared" si="3"/>
        <v>1.8271624342096526</v>
      </c>
      <c r="O35">
        <f t="shared" si="4"/>
        <v>97.7429711061387</v>
      </c>
      <c r="P35">
        <f t="shared" si="2"/>
        <v>2.257028893861303</v>
      </c>
      <c r="Q35">
        <f t="shared" si="5"/>
        <v>18.13476659699395</v>
      </c>
    </row>
    <row r="36" spans="1:17" ht="12.75">
      <c r="A36">
        <v>35</v>
      </c>
      <c r="B36" t="s">
        <v>286</v>
      </c>
      <c r="C36" t="s">
        <v>167</v>
      </c>
      <c r="D36">
        <v>11</v>
      </c>
      <c r="E36">
        <v>5</v>
      </c>
      <c r="F36">
        <v>41.6107</v>
      </c>
      <c r="G36">
        <v>1.9977</v>
      </c>
      <c r="H36">
        <v>43.5602</v>
      </c>
      <c r="I36">
        <f t="shared" si="0"/>
        <v>1.9495000000000005</v>
      </c>
      <c r="J36">
        <v>41.9493</v>
      </c>
      <c r="K36">
        <f t="shared" si="1"/>
        <v>0.33859999999999957</v>
      </c>
      <c r="L36">
        <v>250</v>
      </c>
      <c r="M36">
        <v>155.488685425581</v>
      </c>
      <c r="N36">
        <f t="shared" si="3"/>
        <v>1.9939559557012179</v>
      </c>
      <c r="O36">
        <f t="shared" si="4"/>
        <v>97.58722530910549</v>
      </c>
      <c r="P36">
        <f t="shared" si="2"/>
        <v>2.4127746908945076</v>
      </c>
      <c r="Q36">
        <f t="shared" si="5"/>
        <v>17.368556040010233</v>
      </c>
    </row>
    <row r="37" spans="1:17" ht="12.75">
      <c r="A37">
        <v>36</v>
      </c>
      <c r="B37" t="s">
        <v>286</v>
      </c>
      <c r="C37" t="s">
        <v>167</v>
      </c>
      <c r="D37">
        <v>11</v>
      </c>
      <c r="E37">
        <v>4</v>
      </c>
      <c r="F37">
        <v>37.4875</v>
      </c>
      <c r="G37">
        <v>1.9739</v>
      </c>
      <c r="H37">
        <v>39.41</v>
      </c>
      <c r="I37">
        <f t="shared" si="0"/>
        <v>1.9224999999999994</v>
      </c>
      <c r="J37">
        <v>37.8297</v>
      </c>
      <c r="K37">
        <f t="shared" si="1"/>
        <v>0.3422000000000054</v>
      </c>
      <c r="L37">
        <v>250</v>
      </c>
      <c r="M37">
        <v>152.291713760715</v>
      </c>
      <c r="N37">
        <f t="shared" si="3"/>
        <v>1.980386394807738</v>
      </c>
      <c r="O37">
        <f t="shared" si="4"/>
        <v>97.39601803536144</v>
      </c>
      <c r="P37">
        <f t="shared" si="2"/>
        <v>2.603981964638561</v>
      </c>
      <c r="Q37">
        <f t="shared" si="5"/>
        <v>17.79973992197688</v>
      </c>
    </row>
    <row r="38" spans="1:17" ht="12.75">
      <c r="A38">
        <v>37</v>
      </c>
      <c r="B38" t="s">
        <v>286</v>
      </c>
      <c r="C38" t="s">
        <v>165</v>
      </c>
      <c r="D38">
        <v>12</v>
      </c>
      <c r="E38">
        <v>3</v>
      </c>
      <c r="F38">
        <v>42.0377</v>
      </c>
      <c r="G38">
        <v>1.9058</v>
      </c>
      <c r="H38">
        <v>43.8801</v>
      </c>
      <c r="I38">
        <f t="shared" si="0"/>
        <v>1.8423999999999978</v>
      </c>
      <c r="J38">
        <v>42.4569</v>
      </c>
      <c r="K38">
        <f t="shared" si="1"/>
        <v>0.41919999999999646</v>
      </c>
      <c r="L38">
        <v>250</v>
      </c>
      <c r="M38">
        <v>174.845712984276</v>
      </c>
      <c r="N38">
        <f t="shared" si="3"/>
        <v>2.372526500546518</v>
      </c>
      <c r="O38">
        <f t="shared" si="4"/>
        <v>96.6733130443907</v>
      </c>
      <c r="P38">
        <f t="shared" si="2"/>
        <v>3.3266869556093046</v>
      </c>
      <c r="Q38">
        <f t="shared" si="5"/>
        <v>22.752930959617725</v>
      </c>
    </row>
    <row r="39" spans="1:17" ht="12.75">
      <c r="A39">
        <v>38</v>
      </c>
      <c r="B39" t="s">
        <v>286</v>
      </c>
      <c r="C39" t="s">
        <v>165</v>
      </c>
      <c r="D39">
        <v>12</v>
      </c>
      <c r="E39">
        <v>2</v>
      </c>
      <c r="F39">
        <v>40.1122</v>
      </c>
      <c r="G39">
        <v>1.9797</v>
      </c>
      <c r="H39">
        <v>42.0277</v>
      </c>
      <c r="I39">
        <f t="shared" si="0"/>
        <v>1.9155000000000015</v>
      </c>
      <c r="J39">
        <v>40.5545</v>
      </c>
      <c r="K39">
        <f t="shared" si="1"/>
        <v>0.4422999999999959</v>
      </c>
      <c r="L39">
        <v>250</v>
      </c>
      <c r="M39">
        <v>186.05407818</v>
      </c>
      <c r="N39">
        <f t="shared" si="3"/>
        <v>2.4282704017227856</v>
      </c>
      <c r="O39">
        <f t="shared" si="4"/>
        <v>96.75708440672837</v>
      </c>
      <c r="P39">
        <f t="shared" si="2"/>
        <v>3.242915593271631</v>
      </c>
      <c r="Q39">
        <f t="shared" si="5"/>
        <v>23.090576872878913</v>
      </c>
    </row>
    <row r="40" spans="1:17" ht="12.75">
      <c r="A40">
        <v>39</v>
      </c>
      <c r="B40" t="s">
        <v>286</v>
      </c>
      <c r="C40" t="s">
        <v>165</v>
      </c>
      <c r="D40">
        <v>12</v>
      </c>
      <c r="E40">
        <v>1</v>
      </c>
      <c r="F40">
        <v>33.4012</v>
      </c>
      <c r="G40">
        <v>1.9866</v>
      </c>
      <c r="H40">
        <v>35.3227</v>
      </c>
      <c r="I40">
        <f t="shared" si="0"/>
        <v>1.9214999999999947</v>
      </c>
      <c r="J40">
        <v>33.8443</v>
      </c>
      <c r="K40">
        <f t="shared" si="1"/>
        <v>0.44309999999999405</v>
      </c>
      <c r="L40">
        <v>250</v>
      </c>
      <c r="M40">
        <v>144.38657836087498</v>
      </c>
      <c r="N40">
        <f t="shared" si="3"/>
        <v>1.878565942764447</v>
      </c>
      <c r="O40">
        <f t="shared" si="4"/>
        <v>96.72304439746273</v>
      </c>
      <c r="P40">
        <f t="shared" si="2"/>
        <v>3.2769556025372633</v>
      </c>
      <c r="Q40">
        <f t="shared" si="5"/>
        <v>23.06010928961724</v>
      </c>
    </row>
    <row r="42" spans="4:15" ht="12.75">
      <c r="D42" s="9" t="s">
        <v>206</v>
      </c>
      <c r="E42" s="9" t="s">
        <v>94</v>
      </c>
      <c r="F42" s="9" t="s">
        <v>95</v>
      </c>
      <c r="G42" s="9" t="s">
        <v>96</v>
      </c>
      <c r="H42" s="9" t="s">
        <v>97</v>
      </c>
      <c r="I42" s="9" t="s">
        <v>95</v>
      </c>
      <c r="J42" s="9" t="s">
        <v>98</v>
      </c>
      <c r="K42" s="14" t="s">
        <v>107</v>
      </c>
      <c r="L42" s="14" t="s">
        <v>108</v>
      </c>
      <c r="M42" s="14" t="s">
        <v>109</v>
      </c>
      <c r="N42" s="14" t="s">
        <v>184</v>
      </c>
      <c r="O42" s="14" t="s">
        <v>185</v>
      </c>
    </row>
    <row r="43" spans="4:13" ht="12.75">
      <c r="D43" s="3" t="s">
        <v>102</v>
      </c>
      <c r="E43">
        <f>AVERAGE(O2:O4)</f>
        <v>98.01769751271574</v>
      </c>
      <c r="F43">
        <f>STDEV(O2:O4)</f>
        <v>0.13696223081148254</v>
      </c>
      <c r="G43">
        <f>(F43/E43)*100</f>
        <v>0.13973214458921007</v>
      </c>
      <c r="H43">
        <f>AVERAGE(Q2:Q4)</f>
        <v>18.7228095888069</v>
      </c>
      <c r="I43">
        <f>STDEV(Q2:Q4)</f>
        <v>0.4626960531661556</v>
      </c>
      <c r="J43" s="11">
        <f aca="true" t="shared" si="6" ref="J43:J55">100*(I43/H43)</f>
        <v>2.4712960465226876</v>
      </c>
      <c r="K43">
        <f>AVERAGE(N2:N4)</f>
        <v>2.1170007423913373</v>
      </c>
      <c r="L43">
        <f>STDEV(N2:N4)</f>
        <v>0.27050332521920667</v>
      </c>
      <c r="M43" s="8">
        <f>100*(L43/K43)</f>
        <v>12.777667943264372</v>
      </c>
    </row>
    <row r="44" spans="4:13" ht="12.75">
      <c r="D44">
        <v>1</v>
      </c>
      <c r="E44">
        <f>AVERAGE(O5:O7)</f>
        <v>99.13260774990819</v>
      </c>
      <c r="F44">
        <f>STDEV(O5:O7)</f>
        <v>0.026655425867751065</v>
      </c>
      <c r="G44">
        <f aca="true" t="shared" si="7" ref="G44:G55">(F44/E44)*100</f>
        <v>0.02688865598592684</v>
      </c>
      <c r="H44">
        <f>AVERAGE(Q5:Q7)</f>
        <v>17.33039188128426</v>
      </c>
      <c r="I44">
        <f>STDEV(Q5:Q7)</f>
        <v>0.7228216963266174</v>
      </c>
      <c r="J44" s="11">
        <f t="shared" si="6"/>
        <v>4.170832957950706</v>
      </c>
      <c r="K44">
        <f>AVERAGE(N5:N7)</f>
        <v>1.671503210509778</v>
      </c>
      <c r="L44">
        <f>STDEV(N5:N7)</f>
        <v>0.150931422219956</v>
      </c>
      <c r="M44" s="8">
        <f aca="true" t="shared" si="8" ref="M44:M55">100*(L44/K44)</f>
        <v>9.029681861868795</v>
      </c>
    </row>
    <row r="45" spans="4:13" ht="12.75">
      <c r="D45">
        <v>2</v>
      </c>
      <c r="E45">
        <f>AVERAGE(O8:O10)</f>
        <v>98.48691202451859</v>
      </c>
      <c r="F45">
        <f>STDEV(O8:O10)</f>
        <v>0.07949133567509416</v>
      </c>
      <c r="G45">
        <f t="shared" si="7"/>
        <v>0.08071258814095478</v>
      </c>
      <c r="H45">
        <f>AVERAGE(Q8:Q10)</f>
        <v>21.458761660485067</v>
      </c>
      <c r="I45">
        <f>STDEV(Q8:Q10)</f>
        <v>0.6378627075980093</v>
      </c>
      <c r="J45" s="11">
        <f t="shared" si="6"/>
        <v>2.972504740441722</v>
      </c>
      <c r="K45">
        <f>AVERAGE(N8:N10)</f>
        <v>2.2871648062428025</v>
      </c>
      <c r="L45">
        <f>STDEV(N8:N10)</f>
        <v>0.15987384397102153</v>
      </c>
      <c r="M45">
        <f t="shared" si="8"/>
        <v>6.990044772228343</v>
      </c>
    </row>
    <row r="46" spans="4:15" ht="12.75">
      <c r="D46">
        <v>3</v>
      </c>
      <c r="E46">
        <f>AVERAGE(O11:O13)</f>
        <v>98.1902159328484</v>
      </c>
      <c r="F46">
        <f>STDEV(O11:O13)</f>
        <v>0.2400842853440905</v>
      </c>
      <c r="G46">
        <f t="shared" si="7"/>
        <v>0.24450937709341877</v>
      </c>
      <c r="H46">
        <f>AVERAGE(Q11:Q13)</f>
        <v>20.483865488666805</v>
      </c>
      <c r="I46">
        <f>STDEV(Q11:Q13)</f>
        <v>0.5502366377094436</v>
      </c>
      <c r="J46" s="11">
        <f t="shared" si="6"/>
        <v>2.6861953278001915</v>
      </c>
      <c r="K46">
        <f>AVERAGE(N11:N13)</f>
        <v>2.0655566383945527</v>
      </c>
      <c r="L46">
        <f>STDEV(N11:N13)</f>
        <v>0.7066601373108512</v>
      </c>
      <c r="M46" s="8">
        <f t="shared" si="8"/>
        <v>34.2116078627648</v>
      </c>
      <c r="N46" s="14">
        <f>N13</f>
        <v>2.088853728981023</v>
      </c>
      <c r="O46" t="s">
        <v>186</v>
      </c>
    </row>
    <row r="47" spans="4:13" ht="12.75">
      <c r="D47">
        <v>4</v>
      </c>
      <c r="E47">
        <f>AVERAGE(O14:O16)</f>
        <v>97.96638127186395</v>
      </c>
      <c r="F47">
        <f>STDEV(O14:O16)</f>
        <v>0.08009986506173913</v>
      </c>
      <c r="G47">
        <f t="shared" si="7"/>
        <v>0.08176260470360346</v>
      </c>
      <c r="H47">
        <f>AVERAGE(Q14:Q16)</f>
        <v>17.760796963553602</v>
      </c>
      <c r="I47">
        <f>STDEV(Q14:Q16)</f>
        <v>0.5444677246755331</v>
      </c>
      <c r="J47" s="11">
        <f t="shared" si="6"/>
        <v>3.0655590838227527</v>
      </c>
      <c r="K47">
        <f>AVERAGE(N14:N16)</f>
        <v>1.9494821068224135</v>
      </c>
      <c r="L47">
        <f>STDEV(N14:N16)</f>
        <v>0.2130349033691082</v>
      </c>
      <c r="M47" s="8">
        <f t="shared" si="8"/>
        <v>10.927769104603248</v>
      </c>
    </row>
    <row r="48" spans="4:13" ht="12.75">
      <c r="D48">
        <v>5</v>
      </c>
      <c r="E48">
        <f>AVERAGE(O17:O19)</f>
        <v>97.44143967168128</v>
      </c>
      <c r="F48">
        <f>STDEV(O17:O19)</f>
        <v>0.09166671523228405</v>
      </c>
      <c r="G48">
        <f t="shared" si="7"/>
        <v>0.09407364622397354</v>
      </c>
      <c r="H48">
        <f>AVERAGE(Q17:Q19)</f>
        <v>16.48126274840031</v>
      </c>
      <c r="I48">
        <f>STDEV(Q17:Q19)</f>
        <v>0.49439124860448747</v>
      </c>
      <c r="J48" s="11">
        <f t="shared" si="6"/>
        <v>2.999717049304815</v>
      </c>
      <c r="K48">
        <f>AVERAGE(N17:N19)</f>
        <v>1.5148873914852778</v>
      </c>
      <c r="L48">
        <f>STDEV(N17:N19)</f>
        <v>0.22667780673531562</v>
      </c>
      <c r="M48" s="8">
        <f t="shared" si="8"/>
        <v>14.963343678837301</v>
      </c>
    </row>
    <row r="49" spans="4:13" ht="12.75">
      <c r="D49">
        <v>6</v>
      </c>
      <c r="E49">
        <f>AVERAGE(O20:O22)</f>
        <v>96.61978588907782</v>
      </c>
      <c r="F49">
        <f>STDEV(O20:O22)</f>
        <v>0.051960575036715244</v>
      </c>
      <c r="G49">
        <f t="shared" si="7"/>
        <v>0.05377840010571687</v>
      </c>
      <c r="H49">
        <f>AVERAGE(Q20:Q22)</f>
        <v>18.872733706240243</v>
      </c>
      <c r="I49">
        <f>STDEV(Q20:Q22)</f>
        <v>0.7261808636471864</v>
      </c>
      <c r="J49" s="11">
        <f t="shared" si="6"/>
        <v>3.8477778309724977</v>
      </c>
      <c r="K49">
        <f>AVERAGE(N20:N22)</f>
        <v>1.7226803268999789</v>
      </c>
      <c r="L49">
        <f>STDEV(N20:N22)</f>
        <v>0.27790627918488525</v>
      </c>
      <c r="M49" s="8">
        <f t="shared" si="8"/>
        <v>16.13220252448038</v>
      </c>
    </row>
    <row r="50" spans="4:13" ht="12.75">
      <c r="D50">
        <v>7</v>
      </c>
      <c r="E50">
        <f>AVERAGE(O23:O25)</f>
        <v>98.08426475780828</v>
      </c>
      <c r="F50">
        <f>STDEV(O23:O25)</f>
        <v>0.03395132965720153</v>
      </c>
      <c r="G50">
        <f t="shared" si="7"/>
        <v>0.034614450891827415</v>
      </c>
      <c r="H50">
        <f>AVERAGE(Q23:Q25)</f>
        <v>26.922615992699956</v>
      </c>
      <c r="I50">
        <f>STDEV(Q23:Q25)</f>
        <v>0.8646191242276006</v>
      </c>
      <c r="J50" s="11">
        <f t="shared" si="6"/>
        <v>3.2114974431238084</v>
      </c>
      <c r="K50">
        <f>AVERAGE(N23:N25)</f>
        <v>2.3864479041861575</v>
      </c>
      <c r="L50">
        <f>STDEV(N23:N25)</f>
        <v>0.2803982488769739</v>
      </c>
      <c r="M50" s="8">
        <f t="shared" si="8"/>
        <v>11.749606952874053</v>
      </c>
    </row>
    <row r="51" spans="4:15" ht="12.75">
      <c r="D51">
        <v>8</v>
      </c>
      <c r="E51">
        <f>AVERAGE(O26:O28)</f>
        <v>97.65809241232448</v>
      </c>
      <c r="F51">
        <f>STDEV(O26:O28)</f>
        <v>0.1348283327916939</v>
      </c>
      <c r="G51">
        <f t="shared" si="7"/>
        <v>0.13806160806667417</v>
      </c>
      <c r="H51">
        <f>AVERAGE(Q26:Q28)</f>
        <v>21.576199749356785</v>
      </c>
      <c r="I51">
        <f>STDEV(Q26:Q28)</f>
        <v>1.0996031802604582</v>
      </c>
      <c r="J51" s="11">
        <f t="shared" si="6"/>
        <v>5.096370969096348</v>
      </c>
      <c r="K51">
        <f>AVERAGE(N26:N28)</f>
        <v>2.039736406734914</v>
      </c>
      <c r="L51">
        <f>STDEV(N26:N28)</f>
        <v>0.5047975434052133</v>
      </c>
      <c r="M51" s="8">
        <f t="shared" si="8"/>
        <v>24.74817538866517</v>
      </c>
      <c r="N51" s="14">
        <f>AVERAGE(N27:N28)</f>
        <v>2.3298519963997695</v>
      </c>
      <c r="O51">
        <f>STDEV(N27:N28)</f>
        <v>0.06810864450536999</v>
      </c>
    </row>
    <row r="52" spans="4:13" ht="12.75">
      <c r="D52">
        <v>9</v>
      </c>
      <c r="E52">
        <f>AVERAGE(O29:O31)</f>
        <v>97.35000885680158</v>
      </c>
      <c r="F52">
        <f>STDEV(O29:O31)</f>
        <v>0.1258389355954429</v>
      </c>
      <c r="G52">
        <f t="shared" si="7"/>
        <v>0.1292644315837172</v>
      </c>
      <c r="H52">
        <f>AVERAGE(Q29:Q31)</f>
        <v>20.989022981703865</v>
      </c>
      <c r="I52">
        <f>STDEV(Q29:Q31)</f>
        <v>0.3315756297359423</v>
      </c>
      <c r="J52" s="11">
        <f t="shared" si="6"/>
        <v>1.5797573332735726</v>
      </c>
      <c r="K52">
        <f>AVERAGE(N29:N31)</f>
        <v>2.213959677012856</v>
      </c>
      <c r="L52">
        <f>STDEV(N29:N31)</f>
        <v>0.10386907710810368</v>
      </c>
      <c r="M52">
        <f t="shared" si="8"/>
        <v>4.691552343367297</v>
      </c>
    </row>
    <row r="53" spans="4:15" ht="12.75">
      <c r="D53">
        <v>10</v>
      </c>
      <c r="E53">
        <f>AVERAGE(O32:O34)</f>
        <v>96.68942456440374</v>
      </c>
      <c r="F53">
        <f>STDEV(O32:O34)</f>
        <v>0.2529316345343299</v>
      </c>
      <c r="G53">
        <f t="shared" si="7"/>
        <v>0.2615918293792875</v>
      </c>
      <c r="H53">
        <f>AVERAGE(Q32:Q34)</f>
        <v>22.58673129411319</v>
      </c>
      <c r="I53">
        <f>STDEV(Q32:Q34)</f>
        <v>1.3225719158556795</v>
      </c>
      <c r="J53" s="11">
        <f t="shared" si="6"/>
        <v>5.855525966257823</v>
      </c>
      <c r="K53">
        <f>AVERAGE(N32:N34)</f>
        <v>2.2047320022104793</v>
      </c>
      <c r="L53">
        <f>STDEV(N32:N34)</f>
        <v>0.44073525819897214</v>
      </c>
      <c r="M53" s="8">
        <f t="shared" si="8"/>
        <v>19.99042322409653</v>
      </c>
      <c r="N53" s="14">
        <v>2.1511148624732854</v>
      </c>
      <c r="O53" t="s">
        <v>186</v>
      </c>
    </row>
    <row r="54" spans="4:13" ht="12.75">
      <c r="D54">
        <v>11</v>
      </c>
      <c r="E54">
        <f>AVERAGE(O35:O37)</f>
        <v>97.57540481686856</v>
      </c>
      <c r="F54">
        <f>STDEV(O35:O37)</f>
        <v>0.17377831095388613</v>
      </c>
      <c r="G54">
        <f t="shared" si="7"/>
        <v>0.17809642837766002</v>
      </c>
      <c r="H54">
        <f>AVERAGE(Q35:Q37)</f>
        <v>17.767687519660353</v>
      </c>
      <c r="I54">
        <f>STDEV(Q35:Q37)</f>
        <v>0.3841095830346063</v>
      </c>
      <c r="J54" s="11">
        <f t="shared" si="6"/>
        <v>2.161843417212174</v>
      </c>
      <c r="K54">
        <f>AVERAGE(N35:N37)</f>
        <v>1.9338349282395362</v>
      </c>
      <c r="L54">
        <f>STDEV(N35:N37)</f>
        <v>0.0926299032852087</v>
      </c>
      <c r="M54">
        <f t="shared" si="8"/>
        <v>4.789959160037212</v>
      </c>
    </row>
    <row r="55" spans="4:13" ht="12.75">
      <c r="D55">
        <v>12</v>
      </c>
      <c r="E55">
        <f>AVERAGE(O38:O40)</f>
        <v>96.71781394952727</v>
      </c>
      <c r="F55">
        <f>STDEV(O38:O40)</f>
        <v>0.0421299000257723</v>
      </c>
      <c r="G55">
        <f t="shared" si="7"/>
        <v>0.043559607382935704</v>
      </c>
      <c r="H55">
        <f>AVERAGE(Q38:Q40)</f>
        <v>22.967872374037963</v>
      </c>
      <c r="I55">
        <f>STDEV(Q38:Q40)</f>
        <v>0.18676703973715494</v>
      </c>
      <c r="J55" s="11">
        <f t="shared" si="6"/>
        <v>0.8131664818386466</v>
      </c>
      <c r="K55">
        <f>AVERAGE(N38:N40)</f>
        <v>2.226454281677917</v>
      </c>
      <c r="L55">
        <f>STDEV(N38:N40)</f>
        <v>0.3025666338074424</v>
      </c>
      <c r="M55" s="8">
        <f t="shared" si="8"/>
        <v>13.58961808905503</v>
      </c>
    </row>
    <row r="57" ht="12.75">
      <c r="A57" s="14" t="s">
        <v>34</v>
      </c>
    </row>
    <row r="58" spans="1:10" ht="12.75">
      <c r="A58" s="14" t="s">
        <v>3</v>
      </c>
      <c r="B58" s="14" t="s">
        <v>4</v>
      </c>
      <c r="C58" s="14" t="s">
        <v>210</v>
      </c>
      <c r="D58" s="14" t="s">
        <v>5</v>
      </c>
      <c r="E58" s="14" t="s">
        <v>127</v>
      </c>
      <c r="F58" s="14" t="s">
        <v>168</v>
      </c>
      <c r="G58" s="14" t="s">
        <v>258</v>
      </c>
      <c r="H58" s="14" t="s">
        <v>175</v>
      </c>
      <c r="I58" s="14" t="s">
        <v>176</v>
      </c>
      <c r="J58" s="14" t="s">
        <v>2</v>
      </c>
    </row>
    <row r="59" spans="1:10" ht="12.75">
      <c r="A59">
        <v>1</v>
      </c>
      <c r="B59" t="s">
        <v>35</v>
      </c>
      <c r="C59" t="s">
        <v>36</v>
      </c>
      <c r="D59">
        <v>4</v>
      </c>
      <c r="E59" t="s">
        <v>42</v>
      </c>
      <c r="F59">
        <v>37.4902</v>
      </c>
      <c r="G59">
        <v>2.1182</v>
      </c>
      <c r="H59">
        <v>38.3092</v>
      </c>
      <c r="I59">
        <f>H59-F59</f>
        <v>0.8189999999999955</v>
      </c>
      <c r="J59">
        <f>(I59/G59)*100</f>
        <v>38.664904163912546</v>
      </c>
    </row>
    <row r="60" spans="1:10" ht="12.75">
      <c r="A60">
        <v>2</v>
      </c>
      <c r="B60" t="s">
        <v>35</v>
      </c>
      <c r="C60" t="s">
        <v>37</v>
      </c>
      <c r="D60">
        <v>4</v>
      </c>
      <c r="E60" t="s">
        <v>43</v>
      </c>
      <c r="F60">
        <v>40.9446</v>
      </c>
      <c r="G60">
        <v>1.862</v>
      </c>
      <c r="H60">
        <v>41.4221</v>
      </c>
      <c r="I60">
        <f aca="true" t="shared" si="9" ref="I60:I78">H60-F60</f>
        <v>0.47749999999999915</v>
      </c>
      <c r="J60">
        <f aca="true" t="shared" si="10" ref="J60:J78">(I60/G60)*100</f>
        <v>25.644468313641198</v>
      </c>
    </row>
    <row r="61" spans="1:10" ht="12.75">
      <c r="A61">
        <v>3</v>
      </c>
      <c r="B61" t="s">
        <v>35</v>
      </c>
      <c r="C61" t="s">
        <v>37</v>
      </c>
      <c r="D61">
        <v>4</v>
      </c>
      <c r="E61" t="s">
        <v>44</v>
      </c>
      <c r="F61">
        <v>33.4035</v>
      </c>
      <c r="G61">
        <v>2.7102</v>
      </c>
      <c r="H61">
        <v>34.3955</v>
      </c>
      <c r="I61">
        <f t="shared" si="9"/>
        <v>0.9919999999999973</v>
      </c>
      <c r="J61">
        <f t="shared" si="10"/>
        <v>36.602464762748035</v>
      </c>
    </row>
    <row r="62" spans="1:10" ht="12.75">
      <c r="A62">
        <v>4</v>
      </c>
      <c r="B62" t="s">
        <v>35</v>
      </c>
      <c r="C62" t="s">
        <v>38</v>
      </c>
      <c r="D62">
        <v>5</v>
      </c>
      <c r="E62" t="s">
        <v>45</v>
      </c>
      <c r="F62">
        <v>43.4176</v>
      </c>
      <c r="G62">
        <v>2.827</v>
      </c>
      <c r="H62">
        <v>44.261</v>
      </c>
      <c r="I62">
        <f t="shared" si="9"/>
        <v>0.8434000000000026</v>
      </c>
      <c r="J62">
        <f t="shared" si="10"/>
        <v>29.83374602051654</v>
      </c>
    </row>
    <row r="63" spans="1:10" ht="12.75">
      <c r="A63">
        <v>5</v>
      </c>
      <c r="B63" t="s">
        <v>35</v>
      </c>
      <c r="C63" t="s">
        <v>344</v>
      </c>
      <c r="D63">
        <v>5</v>
      </c>
      <c r="E63" t="s">
        <v>46</v>
      </c>
      <c r="F63">
        <v>42.9846</v>
      </c>
      <c r="G63">
        <v>2.4761</v>
      </c>
      <c r="H63">
        <v>43.7707</v>
      </c>
      <c r="I63">
        <f t="shared" si="9"/>
        <v>0.7860999999999976</v>
      </c>
      <c r="J63">
        <f t="shared" si="10"/>
        <v>31.747506158878778</v>
      </c>
    </row>
    <row r="64" spans="1:10" ht="12.75">
      <c r="A64">
        <v>6</v>
      </c>
      <c r="B64" t="s">
        <v>35</v>
      </c>
      <c r="C64" t="s">
        <v>39</v>
      </c>
      <c r="D64">
        <v>5</v>
      </c>
      <c r="E64" t="s">
        <v>47</v>
      </c>
      <c r="F64">
        <v>41.4196</v>
      </c>
      <c r="G64">
        <v>2.3968</v>
      </c>
      <c r="H64">
        <v>42.178</v>
      </c>
      <c r="I64">
        <f t="shared" si="9"/>
        <v>0.7583999999999946</v>
      </c>
      <c r="J64">
        <f t="shared" si="10"/>
        <v>31.6421895861146</v>
      </c>
    </row>
    <row r="65" spans="1:10" ht="12.75">
      <c r="A65">
        <v>7</v>
      </c>
      <c r="B65" t="s">
        <v>35</v>
      </c>
      <c r="C65" t="s">
        <v>40</v>
      </c>
      <c r="D65">
        <v>6</v>
      </c>
      <c r="E65" t="s">
        <v>48</v>
      </c>
      <c r="F65">
        <v>42.5386</v>
      </c>
      <c r="G65">
        <v>1.7154</v>
      </c>
      <c r="H65">
        <v>42.94</v>
      </c>
      <c r="I65">
        <f t="shared" si="9"/>
        <v>0.4013999999999953</v>
      </c>
      <c r="J65">
        <f t="shared" si="10"/>
        <v>23.39979013641106</v>
      </c>
    </row>
    <row r="66" spans="1:10" ht="12.75">
      <c r="A66">
        <v>8</v>
      </c>
      <c r="B66" t="s">
        <v>35</v>
      </c>
      <c r="C66" t="s">
        <v>343</v>
      </c>
      <c r="D66">
        <v>6</v>
      </c>
      <c r="E66" t="s">
        <v>49</v>
      </c>
      <c r="F66">
        <v>41.8646</v>
      </c>
      <c r="G66">
        <v>1.6543</v>
      </c>
      <c r="H66">
        <v>42.2207</v>
      </c>
      <c r="I66">
        <f t="shared" si="9"/>
        <v>0.35609999999999786</v>
      </c>
      <c r="J66">
        <f t="shared" si="10"/>
        <v>21.5257208486972</v>
      </c>
    </row>
    <row r="67" spans="1:10" ht="12.75">
      <c r="A67">
        <v>9</v>
      </c>
      <c r="B67" t="s">
        <v>35</v>
      </c>
      <c r="C67" t="s">
        <v>343</v>
      </c>
      <c r="D67">
        <v>6</v>
      </c>
      <c r="E67" t="s">
        <v>50</v>
      </c>
      <c r="F67">
        <v>41.6137</v>
      </c>
      <c r="G67">
        <v>2.6453</v>
      </c>
      <c r="H67">
        <v>42.2649</v>
      </c>
      <c r="I67">
        <f t="shared" si="9"/>
        <v>0.6511999999999958</v>
      </c>
      <c r="J67">
        <f t="shared" si="10"/>
        <v>24.617245681019003</v>
      </c>
    </row>
    <row r="68" spans="1:10" ht="12.75">
      <c r="A68">
        <v>10</v>
      </c>
      <c r="B68" t="s">
        <v>35</v>
      </c>
      <c r="C68" t="s">
        <v>342</v>
      </c>
      <c r="D68">
        <v>8</v>
      </c>
      <c r="E68" t="s">
        <v>51</v>
      </c>
      <c r="F68">
        <v>46.2992</v>
      </c>
      <c r="G68">
        <v>2.0128</v>
      </c>
      <c r="H68">
        <v>46.841</v>
      </c>
      <c r="I68">
        <f t="shared" si="9"/>
        <v>0.5418000000000021</v>
      </c>
      <c r="J68">
        <f t="shared" si="10"/>
        <v>26.917726550079596</v>
      </c>
    </row>
    <row r="69" spans="1:10" ht="12.75">
      <c r="A69">
        <v>11</v>
      </c>
      <c r="B69" t="s">
        <v>35</v>
      </c>
      <c r="C69" t="s">
        <v>41</v>
      </c>
      <c r="D69">
        <v>8</v>
      </c>
      <c r="E69" t="s">
        <v>52</v>
      </c>
      <c r="F69">
        <v>39.9037</v>
      </c>
      <c r="G69">
        <v>2.7643</v>
      </c>
      <c r="H69">
        <v>40.5875</v>
      </c>
      <c r="I69">
        <f t="shared" si="9"/>
        <v>0.683799999999998</v>
      </c>
      <c r="J69">
        <f t="shared" si="10"/>
        <v>24.7368230655138</v>
      </c>
    </row>
    <row r="70" spans="1:10" ht="12.75">
      <c r="A70">
        <v>12</v>
      </c>
      <c r="B70" t="s">
        <v>35</v>
      </c>
      <c r="C70" t="s">
        <v>41</v>
      </c>
      <c r="D70">
        <v>8</v>
      </c>
      <c r="E70" t="s">
        <v>53</v>
      </c>
      <c r="F70">
        <v>38.579</v>
      </c>
      <c r="G70">
        <v>2.8589</v>
      </c>
      <c r="H70">
        <v>39.3195</v>
      </c>
      <c r="I70">
        <f t="shared" si="9"/>
        <v>0.7404999999999973</v>
      </c>
      <c r="J70">
        <f t="shared" si="10"/>
        <v>25.901570534121415</v>
      </c>
    </row>
    <row r="71" spans="1:10" ht="12.75">
      <c r="A71">
        <v>13</v>
      </c>
      <c r="B71" t="s">
        <v>35</v>
      </c>
      <c r="C71" t="s">
        <v>343</v>
      </c>
      <c r="D71">
        <v>9</v>
      </c>
      <c r="E71" t="s">
        <v>55</v>
      </c>
      <c r="F71">
        <v>41.2627</v>
      </c>
      <c r="G71">
        <v>2.3986</v>
      </c>
      <c r="H71">
        <v>41.9029</v>
      </c>
      <c r="I71">
        <f t="shared" si="9"/>
        <v>0.6402000000000001</v>
      </c>
      <c r="J71">
        <f t="shared" si="10"/>
        <v>26.690569498874346</v>
      </c>
    </row>
    <row r="72" spans="1:10" ht="12.75">
      <c r="A72">
        <v>14</v>
      </c>
      <c r="B72" t="s">
        <v>35</v>
      </c>
      <c r="C72" t="s">
        <v>343</v>
      </c>
      <c r="D72">
        <v>9</v>
      </c>
      <c r="E72" t="s">
        <v>54</v>
      </c>
      <c r="F72">
        <v>39.2337</v>
      </c>
      <c r="G72">
        <v>2.7331</v>
      </c>
      <c r="H72">
        <v>39.8311</v>
      </c>
      <c r="I72">
        <f t="shared" si="9"/>
        <v>0.5974000000000004</v>
      </c>
      <c r="J72">
        <f t="shared" si="10"/>
        <v>21.85796348468773</v>
      </c>
    </row>
    <row r="73" spans="1:10" ht="12.75">
      <c r="A73">
        <v>15</v>
      </c>
      <c r="B73" t="s">
        <v>35</v>
      </c>
      <c r="C73" t="s">
        <v>343</v>
      </c>
      <c r="D73">
        <v>9</v>
      </c>
      <c r="E73" t="s">
        <v>56</v>
      </c>
      <c r="F73">
        <v>38.8264</v>
      </c>
      <c r="G73">
        <v>2.8872</v>
      </c>
      <c r="H73">
        <v>39.5744</v>
      </c>
      <c r="I73">
        <f t="shared" si="9"/>
        <v>0.7479999999999976</v>
      </c>
      <c r="J73">
        <f t="shared" si="10"/>
        <v>25.90745358825151</v>
      </c>
    </row>
    <row r="74" spans="1:10" ht="12.75">
      <c r="A74">
        <v>16</v>
      </c>
      <c r="B74" t="s">
        <v>35</v>
      </c>
      <c r="C74" t="s">
        <v>344</v>
      </c>
      <c r="D74">
        <v>11</v>
      </c>
      <c r="E74" t="s">
        <v>57</v>
      </c>
      <c r="F74">
        <v>40.1151</v>
      </c>
      <c r="G74">
        <v>1.8875</v>
      </c>
      <c r="H74">
        <v>40.7169</v>
      </c>
      <c r="I74">
        <f t="shared" si="9"/>
        <v>0.6018000000000043</v>
      </c>
      <c r="J74">
        <f t="shared" si="10"/>
        <v>31.883443708609498</v>
      </c>
    </row>
    <row r="75" spans="1:10" ht="12.75">
      <c r="A75">
        <v>17</v>
      </c>
      <c r="B75" t="s">
        <v>35</v>
      </c>
      <c r="C75" t="s">
        <v>344</v>
      </c>
      <c r="D75">
        <v>11</v>
      </c>
      <c r="E75" t="s">
        <v>59</v>
      </c>
      <c r="F75">
        <v>42.0457</v>
      </c>
      <c r="G75">
        <v>2.0978</v>
      </c>
      <c r="H75">
        <v>42.6231</v>
      </c>
      <c r="I75">
        <f t="shared" si="9"/>
        <v>0.5774000000000044</v>
      </c>
      <c r="J75">
        <f t="shared" si="10"/>
        <v>27.524072838211666</v>
      </c>
    </row>
    <row r="76" spans="1:10" ht="12.75">
      <c r="A76">
        <v>18</v>
      </c>
      <c r="B76" t="s">
        <v>35</v>
      </c>
      <c r="C76" t="s">
        <v>344</v>
      </c>
      <c r="D76">
        <v>11</v>
      </c>
      <c r="E76" t="s">
        <v>60</v>
      </c>
      <c r="F76">
        <v>36.6219</v>
      </c>
      <c r="G76">
        <v>2.5041</v>
      </c>
      <c r="H76">
        <v>37.3539</v>
      </c>
      <c r="I76">
        <f t="shared" si="9"/>
        <v>0.7320000000000064</v>
      </c>
      <c r="J76">
        <f t="shared" si="10"/>
        <v>29.23205942254728</v>
      </c>
    </row>
    <row r="77" spans="1:10" ht="12.75">
      <c r="A77">
        <v>19</v>
      </c>
      <c r="B77" t="s">
        <v>35</v>
      </c>
      <c r="C77" t="s">
        <v>342</v>
      </c>
      <c r="D77">
        <v>12</v>
      </c>
      <c r="E77" t="s">
        <v>61</v>
      </c>
      <c r="F77">
        <v>40.2004</v>
      </c>
      <c r="G77">
        <v>2.6207</v>
      </c>
      <c r="H77">
        <v>40.8446</v>
      </c>
      <c r="I77">
        <f t="shared" si="9"/>
        <v>0.6441999999999979</v>
      </c>
      <c r="J77">
        <f t="shared" si="10"/>
        <v>24.581218758346928</v>
      </c>
    </row>
    <row r="78" spans="1:10" ht="12.75">
      <c r="A78">
        <v>20</v>
      </c>
      <c r="B78" t="s">
        <v>35</v>
      </c>
      <c r="C78" t="s">
        <v>342</v>
      </c>
      <c r="D78">
        <v>12</v>
      </c>
      <c r="E78" t="s">
        <v>89</v>
      </c>
      <c r="F78">
        <v>42.0068</v>
      </c>
      <c r="G78">
        <v>2.9715</v>
      </c>
      <c r="H78">
        <v>42.8721</v>
      </c>
      <c r="I78">
        <f t="shared" si="9"/>
        <v>0.8653000000000048</v>
      </c>
      <c r="J78">
        <f t="shared" si="10"/>
        <v>29.119973077570414</v>
      </c>
    </row>
    <row r="81" spans="4:7" ht="12.75">
      <c r="D81" s="9" t="s">
        <v>206</v>
      </c>
      <c r="E81" s="9" t="s">
        <v>94</v>
      </c>
      <c r="F81" s="9" t="s">
        <v>95</v>
      </c>
      <c r="G81" s="9" t="s">
        <v>96</v>
      </c>
    </row>
    <row r="82" spans="4:7" ht="12.75">
      <c r="D82">
        <v>4</v>
      </c>
      <c r="E82">
        <f>AVERAGE(J59:J61)</f>
        <v>33.6372790801006</v>
      </c>
      <c r="F82">
        <f>STDEV(J59:J61)</f>
        <v>6.998369955367484</v>
      </c>
      <c r="G82" s="8">
        <f>F82/E82*100</f>
        <v>20.80539849463518</v>
      </c>
    </row>
    <row r="83" spans="4:7" ht="12.75">
      <c r="D83">
        <v>5</v>
      </c>
      <c r="E83">
        <f>AVERAGE(J62:J64)</f>
        <v>31.074480588503306</v>
      </c>
      <c r="F83">
        <f>STDEV(J62:J64)</f>
        <v>1.075797191050748</v>
      </c>
      <c r="G83">
        <f aca="true" t="shared" si="11" ref="G83:G88">F83/E83*100</f>
        <v>3.4619957298618957</v>
      </c>
    </row>
    <row r="84" spans="4:7" ht="12.75">
      <c r="D84">
        <v>6</v>
      </c>
      <c r="E84">
        <f>AVERAGE(J65:J67)</f>
        <v>23.180918888709087</v>
      </c>
      <c r="F84">
        <f>STDEV(J65:J67)</f>
        <v>1.5573406546156014</v>
      </c>
      <c r="G84">
        <f t="shared" si="11"/>
        <v>6.718200698136033</v>
      </c>
    </row>
    <row r="85" spans="4:7" ht="12.75">
      <c r="D85">
        <v>8</v>
      </c>
      <c r="E85">
        <f>AVERAGE(J68:J70)</f>
        <v>25.85204004990494</v>
      </c>
      <c r="F85">
        <f>STDEV(J68:J70)</f>
        <v>1.0912950810380513</v>
      </c>
      <c r="G85">
        <f t="shared" si="11"/>
        <v>4.221311273429131</v>
      </c>
    </row>
    <row r="86" spans="4:7" ht="12.75">
      <c r="D86">
        <v>9</v>
      </c>
      <c r="E86">
        <f>AVERAGE(J71:J73)</f>
        <v>24.818662190604527</v>
      </c>
      <c r="F86">
        <f>STDEV(J71:J73)</f>
        <v>2.5937656510912306</v>
      </c>
      <c r="G86">
        <f t="shared" si="11"/>
        <v>10.450868105506263</v>
      </c>
    </row>
    <row r="87" spans="4:7" ht="12.75">
      <c r="D87">
        <v>11</v>
      </c>
      <c r="E87">
        <f>AVERAGE(J74:J76)</f>
        <v>29.546525323122818</v>
      </c>
      <c r="F87">
        <f>STDEV(J74:J76)</f>
        <v>2.196632695374189</v>
      </c>
      <c r="G87">
        <f t="shared" si="11"/>
        <v>7.43448737660914</v>
      </c>
    </row>
    <row r="88" spans="4:7" ht="12.75">
      <c r="D88">
        <v>12</v>
      </c>
      <c r="E88">
        <f>AVERAGE(J77:J78)</f>
        <v>26.85059591795867</v>
      </c>
      <c r="F88">
        <f>STDEV(J77:J78)</f>
        <v>3.209383957262659</v>
      </c>
      <c r="G88">
        <f t="shared" si="11"/>
        <v>11.952747592898316</v>
      </c>
    </row>
    <row r="89" spans="4:6" ht="12.75">
      <c r="D89" s="14" t="s">
        <v>6</v>
      </c>
      <c r="E89" s="14" t="s">
        <v>7</v>
      </c>
      <c r="F89" s="14" t="s">
        <v>8</v>
      </c>
    </row>
    <row r="90" spans="4:6" ht="12.75">
      <c r="D90" t="s">
        <v>338</v>
      </c>
      <c r="E90">
        <v>33.637279077</v>
      </c>
      <c r="F90">
        <v>4.0405107777</v>
      </c>
    </row>
    <row r="91" spans="4:6" ht="12.75">
      <c r="D91" t="s">
        <v>339</v>
      </c>
      <c r="E91">
        <v>26.251462398</v>
      </c>
      <c r="F91">
        <v>0.833022565</v>
      </c>
    </row>
    <row r="92" spans="4:6" ht="12.75">
      <c r="D92" t="s">
        <v>340</v>
      </c>
      <c r="E92">
        <v>23.99979054</v>
      </c>
      <c r="F92">
        <v>0.862731419</v>
      </c>
    </row>
    <row r="93" spans="4:6" ht="12.75">
      <c r="D93" t="s">
        <v>341</v>
      </c>
      <c r="E93">
        <v>30.310502957</v>
      </c>
      <c r="F93">
        <v>0.7180306526</v>
      </c>
    </row>
    <row r="95" spans="4:5" ht="12.75">
      <c r="D95" t="s">
        <v>9</v>
      </c>
      <c r="E95">
        <f>AVERAGE(E90:E93)</f>
        <v>28.549758743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M47" sqref="M47"/>
    </sheetView>
  </sheetViews>
  <sheetFormatPr defaultColWidth="11.00390625" defaultRowHeight="12.75"/>
  <cols>
    <col min="1" max="1" width="29.50390625" style="0" bestFit="1" customWidth="1"/>
    <col min="2" max="2" width="11.875" style="0" bestFit="1" customWidth="1"/>
    <col min="3" max="3" width="14.125" style="0" bestFit="1" customWidth="1"/>
    <col min="4" max="4" width="19.125" style="0" bestFit="1" customWidth="1"/>
    <col min="5" max="6" width="12.125" style="0" bestFit="1" customWidth="1"/>
    <col min="7" max="7" width="16.875" style="0" bestFit="1" customWidth="1"/>
    <col min="8" max="8" width="18.125" style="0" bestFit="1" customWidth="1"/>
    <col min="9" max="9" width="19.625" style="0" bestFit="1" customWidth="1"/>
    <col min="10" max="10" width="21.50390625" style="18" bestFit="1" customWidth="1"/>
    <col min="11" max="11" width="5.875" style="18" bestFit="1" customWidth="1"/>
    <col min="12" max="12" width="12.125" style="0" bestFit="1" customWidth="1"/>
    <col min="13" max="13" width="9.625" style="0" bestFit="1" customWidth="1"/>
    <col min="14" max="14" width="6.375" style="0" bestFit="1" customWidth="1"/>
    <col min="15" max="15" width="10.375" style="0" bestFit="1" customWidth="1"/>
    <col min="17" max="17" width="46.875" style="0" bestFit="1" customWidth="1"/>
    <col min="18" max="18" width="14.00390625" style="0" bestFit="1" customWidth="1"/>
  </cols>
  <sheetData>
    <row r="1" spans="1:18" s="14" customFormat="1" ht="55.5">
      <c r="A1" s="22" t="s">
        <v>122</v>
      </c>
      <c r="B1" s="22" t="s">
        <v>187</v>
      </c>
      <c r="C1" s="20" t="s">
        <v>349</v>
      </c>
      <c r="D1" s="20" t="s">
        <v>121</v>
      </c>
      <c r="E1" s="20" t="s">
        <v>350</v>
      </c>
      <c r="F1" s="20" t="s">
        <v>317</v>
      </c>
      <c r="G1" s="20" t="s">
        <v>120</v>
      </c>
      <c r="H1" s="20" t="s">
        <v>123</v>
      </c>
      <c r="I1" s="19"/>
      <c r="J1" s="25" t="s">
        <v>318</v>
      </c>
      <c r="K1" s="25" t="s">
        <v>187</v>
      </c>
      <c r="L1" s="20" t="s">
        <v>351</v>
      </c>
      <c r="M1" s="20" t="s">
        <v>349</v>
      </c>
      <c r="N1" s="21" t="s">
        <v>177</v>
      </c>
      <c r="O1" s="20" t="s">
        <v>119</v>
      </c>
      <c r="P1" s="20" t="s">
        <v>75</v>
      </c>
      <c r="Q1"/>
      <c r="R1"/>
    </row>
    <row r="2" spans="1:16" ht="12.75">
      <c r="A2" s="23" t="s">
        <v>188</v>
      </c>
      <c r="B2" s="23">
        <v>2</v>
      </c>
      <c r="C2" s="32">
        <f>10*0.850344241208255</f>
        <v>8.503442412082551</v>
      </c>
      <c r="D2" s="32">
        <f>10*1.18112164208806</f>
        <v>11.8112164208806</v>
      </c>
      <c r="E2" s="30">
        <f>10*2.33646151763888</f>
        <v>23.364615176388803</v>
      </c>
      <c r="F2" s="32">
        <f>10*10.5306281608969</f>
        <v>105.30628160896899</v>
      </c>
      <c r="G2" s="16">
        <f>(1-(D2/$C2*$E2/F2))*100</f>
        <v>69.18201731181242</v>
      </c>
      <c r="H2" s="17">
        <f>G2*C2/100</f>
        <v>5.88285300162695</v>
      </c>
      <c r="I2" s="18"/>
      <c r="J2" s="23" t="s">
        <v>113</v>
      </c>
      <c r="K2" s="23">
        <v>2</v>
      </c>
      <c r="L2" s="30">
        <f>10*1.94793971826595</f>
        <v>19.4793971826595</v>
      </c>
      <c r="M2" s="15">
        <f>C2</f>
        <v>8.503442412082551</v>
      </c>
      <c r="N2" s="15">
        <f>G2</f>
        <v>69.18201731181242</v>
      </c>
      <c r="O2" s="45">
        <f>N2+((N2-$G$5)*((0.7*$M$2)/(0.3*L2)))</f>
        <v>66.61284497076618</v>
      </c>
      <c r="P2" s="45">
        <f>(O2*L2)/100</f>
        <v>12.975780646524768</v>
      </c>
    </row>
    <row r="3" spans="1:16" ht="12.75">
      <c r="A3" s="23" t="s">
        <v>188</v>
      </c>
      <c r="B3" s="23">
        <v>4</v>
      </c>
      <c r="C3" s="32">
        <f>10*0.850344241208255</f>
        <v>8.503442412082551</v>
      </c>
      <c r="D3" s="32">
        <f>10*1.07564774670382</f>
        <v>10.756477467038199</v>
      </c>
      <c r="E3" s="30">
        <f>10*2.33646151763888</f>
        <v>23.364615176388803</v>
      </c>
      <c r="F3" s="32">
        <f>10*11.7983671972509</f>
        <v>117.983671972509</v>
      </c>
      <c r="G3" s="16">
        <f aca="true" t="shared" si="0" ref="G3:G19">(1-(D3/$C3*$E3/F3))*100</f>
        <v>74.94975251415683</v>
      </c>
      <c r="H3" s="17">
        <f aca="true" t="shared" si="1" ref="H3:H19">G3*C3/100</f>
        <v>6.373309043039719</v>
      </c>
      <c r="I3" s="18"/>
      <c r="J3" s="23" t="s">
        <v>113</v>
      </c>
      <c r="K3" s="23">
        <v>4</v>
      </c>
      <c r="L3" s="30">
        <f>10*1.94793971826595</f>
        <v>19.4793971826595</v>
      </c>
      <c r="M3" s="15">
        <f>C3</f>
        <v>8.503442412082551</v>
      </c>
      <c r="N3" s="15">
        <f>G3</f>
        <v>74.94975251415683</v>
      </c>
      <c r="O3" s="45">
        <f>N3+((N3-$G$5)*((0.7*$M$2)/(0.3*L3)))</f>
        <v>78.25549210817739</v>
      </c>
      <c r="P3" s="45">
        <f>(O3*L3)/100</f>
        <v>15.243698124996635</v>
      </c>
    </row>
    <row r="4" spans="1:17" ht="12.75">
      <c r="A4" s="23" t="s">
        <v>188</v>
      </c>
      <c r="B4" s="23">
        <v>7</v>
      </c>
      <c r="C4" s="32">
        <f>10*0.850344241208255</f>
        <v>8.503442412082551</v>
      </c>
      <c r="D4" s="32">
        <f>10*1.27272671402051</f>
        <v>12.7272671402051</v>
      </c>
      <c r="E4" s="30">
        <f>10*2.33646151763888</f>
        <v>23.364615176388803</v>
      </c>
      <c r="F4" s="32">
        <f>10*12.0508982035931</f>
        <v>120.508982035931</v>
      </c>
      <c r="G4" s="16">
        <f t="shared" si="0"/>
        <v>70.98118996244852</v>
      </c>
      <c r="H4" s="17">
        <f>G4*C4/100</f>
        <v>6.035844611867731</v>
      </c>
      <c r="I4" s="18"/>
      <c r="J4" s="23" t="s">
        <v>113</v>
      </c>
      <c r="K4" s="23">
        <v>7</v>
      </c>
      <c r="L4" s="30">
        <f>10*1.94793971826595</f>
        <v>19.4793971826595</v>
      </c>
      <c r="M4" s="15">
        <f>C4</f>
        <v>8.503442412082551</v>
      </c>
      <c r="N4" s="15">
        <f>G4</f>
        <v>70.98118996244852</v>
      </c>
      <c r="O4" s="45">
        <f>N4+((N4-$G$5)*((0.7*$M$2)/(0.3*L4)))</f>
        <v>70.2446227094742</v>
      </c>
      <c r="P4" s="45">
        <f>(O4*L4)/100</f>
        <v>13.683229057039114</v>
      </c>
      <c r="Q4" t="s">
        <v>264</v>
      </c>
    </row>
    <row r="5" spans="1:16" s="14" customFormat="1" ht="12.75">
      <c r="A5" s="25" t="s">
        <v>297</v>
      </c>
      <c r="B5" s="25"/>
      <c r="C5" s="22"/>
      <c r="D5" s="22"/>
      <c r="E5" s="34"/>
      <c r="F5" s="22"/>
      <c r="G5" s="36">
        <f>AVERAGE(G2:G4)</f>
        <v>71.70431992947259</v>
      </c>
      <c r="H5" s="37">
        <f>AVERAGE(H2:H4)</f>
        <v>6.097335552178134</v>
      </c>
      <c r="I5" s="19"/>
      <c r="J5" s="25" t="s">
        <v>203</v>
      </c>
      <c r="K5" s="25"/>
      <c r="L5" s="34"/>
      <c r="M5" s="35"/>
      <c r="N5" s="35"/>
      <c r="O5" s="46">
        <f>AVERAGE(O2:O4)</f>
        <v>71.70431992947259</v>
      </c>
      <c r="P5" s="46">
        <f>AVERAGE(P2:P4)</f>
        <v>13.967569276186838</v>
      </c>
    </row>
    <row r="6" spans="1:18" s="14" customFormat="1" ht="12.75">
      <c r="A6" s="25" t="s">
        <v>298</v>
      </c>
      <c r="B6" s="25"/>
      <c r="C6" s="22"/>
      <c r="D6" s="22"/>
      <c r="E6" s="34"/>
      <c r="F6" s="22"/>
      <c r="G6" s="36">
        <f>(STDEV(G2:G4))/(SQRT(3))</f>
        <v>1.7038075060480375</v>
      </c>
      <c r="H6" s="36">
        <f>(STDEV(H2:H4))/(SQRT(3))</f>
        <v>0.14488229008953457</v>
      </c>
      <c r="I6" s="19"/>
      <c r="J6" s="25" t="s">
        <v>204</v>
      </c>
      <c r="K6" s="25"/>
      <c r="L6" s="34"/>
      <c r="M6" s="35"/>
      <c r="N6" s="35"/>
      <c r="O6" s="46">
        <f>(STDEV(O2:O4))/(SQRT(3))</f>
        <v>3.439275363218279</v>
      </c>
      <c r="P6" s="46">
        <f>(STDEV(P2:P4))/(SQRT(3))</f>
        <v>0.6699501082066436</v>
      </c>
      <c r="Q6" s="14" t="s">
        <v>183</v>
      </c>
      <c r="R6" s="14">
        <f>100*(O6/O5)</f>
        <v>4.796468841209434</v>
      </c>
    </row>
    <row r="7" spans="1:16" ht="12.75">
      <c r="A7" s="24" t="s">
        <v>189</v>
      </c>
      <c r="B7" s="23">
        <v>8</v>
      </c>
      <c r="C7" s="32">
        <f>10*0.603045241670794</f>
        <v>6.03045241670794</v>
      </c>
      <c r="D7" s="44">
        <f>10*0.783114623660725</f>
        <v>7.831146236607251</v>
      </c>
      <c r="E7" s="30">
        <f>10*1.93683277049511</f>
        <v>19.3683277049511</v>
      </c>
      <c r="F7" s="32">
        <f>10*11.2565411474677</f>
        <v>112.565411474677</v>
      </c>
      <c r="G7" s="16">
        <f t="shared" si="0"/>
        <v>77.6559136886089</v>
      </c>
      <c r="H7" s="17">
        <f t="shared" si="1"/>
        <v>4.6830029237513475</v>
      </c>
      <c r="I7" s="18"/>
      <c r="J7" s="23" t="s">
        <v>114</v>
      </c>
      <c r="K7" s="23">
        <v>8</v>
      </c>
      <c r="L7" s="30">
        <f>10*0.477037241727282</f>
        <v>4.77037241727282</v>
      </c>
      <c r="M7" s="15">
        <f>C7</f>
        <v>6.03045241670794</v>
      </c>
      <c r="N7" s="15">
        <f>G7</f>
        <v>77.6559136886089</v>
      </c>
      <c r="O7" s="16">
        <f>N7+((N7-$G$5)*((0.7*$M$2)/(0.3*L7)))</f>
        <v>102.41032225803517</v>
      </c>
      <c r="P7" s="16">
        <f aca="true" t="shared" si="2" ref="P7:P19">O7*L7/100</f>
        <v>4.885353765437517</v>
      </c>
    </row>
    <row r="8" spans="1:16" ht="12.75">
      <c r="A8" s="24" t="s">
        <v>190</v>
      </c>
      <c r="B8" s="23">
        <v>10</v>
      </c>
      <c r="C8" s="32">
        <f>10*0.603045241670794</f>
        <v>6.03045241670794</v>
      </c>
      <c r="D8" s="32">
        <f>10*0.755890216408854</f>
        <v>7.55890216408854</v>
      </c>
      <c r="E8" s="30">
        <f>10*1.93683277049511</f>
        <v>19.3683277049511</v>
      </c>
      <c r="F8" s="32">
        <f>10*10.8897800654078</f>
        <v>108.897800654078</v>
      </c>
      <c r="G8" s="16">
        <f t="shared" si="0"/>
        <v>77.70631578348431</v>
      </c>
      <c r="H8" s="17">
        <f t="shared" si="1"/>
        <v>4.686042398099833</v>
      </c>
      <c r="I8" s="18"/>
      <c r="J8" s="23" t="s">
        <v>114</v>
      </c>
      <c r="K8" s="23">
        <v>10</v>
      </c>
      <c r="L8" s="30">
        <f>10*0.477037241727282</f>
        <v>4.77037241727282</v>
      </c>
      <c r="M8" s="15">
        <f>C8</f>
        <v>6.03045241670794</v>
      </c>
      <c r="N8" s="15">
        <f>G8</f>
        <v>77.70631578348431</v>
      </c>
      <c r="O8" s="16">
        <f>N8+((N8-$G$5)*((0.7*$M$2)/(0.3*L8)))</f>
        <v>102.6703613173599</v>
      </c>
      <c r="P8" s="16">
        <f t="shared" si="2"/>
        <v>4.897758596997679</v>
      </c>
    </row>
    <row r="9" spans="1:16" ht="12.75">
      <c r="A9" s="24" t="s">
        <v>190</v>
      </c>
      <c r="B9" s="23">
        <v>12</v>
      </c>
      <c r="C9" s="32">
        <f>10*0.603045241670794</f>
        <v>6.03045241670794</v>
      </c>
      <c r="D9" s="32">
        <f>10*0.863283622338854</f>
        <v>8.63283622338854</v>
      </c>
      <c r="E9" s="30">
        <f>10*1.93683277049511</f>
        <v>19.3683277049511</v>
      </c>
      <c r="F9" s="32">
        <f>10*10.4822132954548</f>
        <v>104.822132954548</v>
      </c>
      <c r="G9" s="16">
        <f t="shared" si="0"/>
        <v>73.54896082002853</v>
      </c>
      <c r="H9" s="17">
        <f t="shared" si="1"/>
        <v>4.4353350852349855</v>
      </c>
      <c r="I9" s="18"/>
      <c r="J9" s="23" t="s">
        <v>115</v>
      </c>
      <c r="K9" s="23">
        <v>12</v>
      </c>
      <c r="L9" s="30">
        <f>10*0.477037241727282</f>
        <v>4.77037241727282</v>
      </c>
      <c r="M9" s="15">
        <f>C9</f>
        <v>6.03045241670794</v>
      </c>
      <c r="N9" s="15">
        <f>G9</f>
        <v>73.54896082002853</v>
      </c>
      <c r="O9" s="16">
        <f>N9+((N9-$G$5)*((0.7*$M$2)/(0.3*L9)))</f>
        <v>81.22135851998823</v>
      </c>
      <c r="P9" s="16">
        <f t="shared" si="2"/>
        <v>3.8745612837717855</v>
      </c>
    </row>
    <row r="10" spans="1:16" s="14" customFormat="1" ht="12.75">
      <c r="A10" s="33" t="s">
        <v>231</v>
      </c>
      <c r="B10" s="33"/>
      <c r="C10" s="22"/>
      <c r="D10" s="22"/>
      <c r="E10" s="34"/>
      <c r="F10" s="22"/>
      <c r="G10" s="36">
        <f>AVERAGE(G7:G9)</f>
        <v>76.30373009737391</v>
      </c>
      <c r="H10" s="37">
        <f>AVERAGE(H7:H9)</f>
        <v>4.601460135695389</v>
      </c>
      <c r="I10" s="19"/>
      <c r="J10" s="25" t="s">
        <v>201</v>
      </c>
      <c r="K10" s="25"/>
      <c r="L10" s="34"/>
      <c r="M10" s="35"/>
      <c r="N10" s="35"/>
      <c r="O10" s="36">
        <f>AVERAGE(O7:O9)</f>
        <v>95.43401403179443</v>
      </c>
      <c r="P10" s="36">
        <f>AVERAGE(P7:P9)</f>
        <v>4.552557882068995</v>
      </c>
    </row>
    <row r="11" spans="1:18" s="14" customFormat="1" ht="12.75">
      <c r="A11" s="33" t="s">
        <v>296</v>
      </c>
      <c r="B11" s="33"/>
      <c r="C11" s="22"/>
      <c r="D11" s="22"/>
      <c r="E11" s="34"/>
      <c r="F11" s="22"/>
      <c r="G11" s="36">
        <f>(STDEV(G7:G9))/(SQRT(3))</f>
        <v>1.3774614841979533</v>
      </c>
      <c r="H11" s="36">
        <f>(STDEV(H7:H9))/(SQRT(3))</f>
        <v>0.08306715936303663</v>
      </c>
      <c r="I11" s="19"/>
      <c r="J11" s="25" t="s">
        <v>202</v>
      </c>
      <c r="K11" s="25"/>
      <c r="L11" s="34"/>
      <c r="M11" s="35"/>
      <c r="N11" s="35"/>
      <c r="O11" s="36">
        <f>(STDEV(O7:O9))/(SQRT(3))</f>
        <v>7.106724224306878</v>
      </c>
      <c r="P11" s="36">
        <f>(STDEV(P7:P9))/(SQRT(3))</f>
        <v>0.33901721216797737</v>
      </c>
      <c r="Q11" s="14" t="s">
        <v>183</v>
      </c>
      <c r="R11" s="14">
        <f>100*(O11/O10)</f>
        <v>7.446741391323254</v>
      </c>
    </row>
    <row r="12" spans="1:16" ht="12.75">
      <c r="A12" s="23" t="s">
        <v>124</v>
      </c>
      <c r="B12" s="23">
        <v>3</v>
      </c>
      <c r="C12" s="32">
        <f>10*0.698221293985351</f>
        <v>6.98221293985351</v>
      </c>
      <c r="D12" s="32">
        <f>10*0.955219542320203</f>
        <v>9.55219542320203</v>
      </c>
      <c r="E12" s="30">
        <f>10*1.64690218080758</f>
        <v>16.4690218080758</v>
      </c>
      <c r="F12" s="32">
        <f>10*8.56074512210329</f>
        <v>85.6074512210329</v>
      </c>
      <c r="G12" s="16">
        <f t="shared" si="0"/>
        <v>73.68118405817893</v>
      </c>
      <c r="H12" s="17">
        <f t="shared" si="1"/>
        <v>5.1445771675474505</v>
      </c>
      <c r="I12" s="18"/>
      <c r="J12" s="23" t="s">
        <v>116</v>
      </c>
      <c r="K12" s="23">
        <v>3</v>
      </c>
      <c r="L12" s="30">
        <f>10*0.58174301262003</f>
        <v>5.8174301262003</v>
      </c>
      <c r="M12" s="15">
        <f>C12</f>
        <v>6.98221293985351</v>
      </c>
      <c r="N12" s="15">
        <f>G12</f>
        <v>73.68118405817893</v>
      </c>
      <c r="O12" s="16">
        <f>N12+((N12-$G$5)*((0.7*$M$2)/(0.3*L12)))</f>
        <v>80.42362584501998</v>
      </c>
      <c r="P12" s="16">
        <f t="shared" si="2"/>
        <v>4.678588238490803</v>
      </c>
    </row>
    <row r="13" spans="1:16" ht="12.75">
      <c r="A13" s="23" t="s">
        <v>124</v>
      </c>
      <c r="B13" s="23">
        <v>6</v>
      </c>
      <c r="C13" s="32">
        <f>10*0.698221293985351</f>
        <v>6.98221293985351</v>
      </c>
      <c r="D13" s="32">
        <f>10*0.722395930879501</f>
        <v>7.223959308795011</v>
      </c>
      <c r="E13" s="30">
        <f>10*1.64690218080758</f>
        <v>16.4690218080758</v>
      </c>
      <c r="F13" s="32">
        <f>10*7.85596339609428</f>
        <v>78.5596339609428</v>
      </c>
      <c r="G13" s="16">
        <f t="shared" si="0"/>
        <v>78.3104493416876</v>
      </c>
      <c r="H13" s="17">
        <f t="shared" si="1"/>
        <v>5.467802327192739</v>
      </c>
      <c r="I13" s="18"/>
      <c r="J13" s="23" t="s">
        <v>116</v>
      </c>
      <c r="K13" s="23">
        <v>6</v>
      </c>
      <c r="L13" s="30">
        <f>10*0.58174301262003</f>
        <v>5.8174301262003</v>
      </c>
      <c r="M13" s="15">
        <f>C13</f>
        <v>6.98221293985351</v>
      </c>
      <c r="N13" s="15">
        <f>G13</f>
        <v>78.3104493416876</v>
      </c>
      <c r="O13" s="16">
        <f>N13+((N13-$G$5)*((0.7*$M$2)/(0.3*L13)))</f>
        <v>100.84181219632453</v>
      </c>
      <c r="P13" s="16">
        <f t="shared" si="2"/>
        <v>5.866401962515312</v>
      </c>
    </row>
    <row r="14" spans="1:16" ht="12.75">
      <c r="A14" s="23" t="s">
        <v>124</v>
      </c>
      <c r="B14" s="23">
        <v>9</v>
      </c>
      <c r="C14" s="32">
        <f>10*0.698221293985351</f>
        <v>6.98221293985351</v>
      </c>
      <c r="D14" s="32">
        <f>10*1.00163672041529</f>
        <v>10.0163672041529</v>
      </c>
      <c r="E14" s="30">
        <f>10*1.64690218080758</f>
        <v>16.4690218080758</v>
      </c>
      <c r="F14" s="32">
        <f>10*7.89052562190437</f>
        <v>78.90525621904371</v>
      </c>
      <c r="G14" s="16">
        <f t="shared" si="0"/>
        <v>70.05812325649065</v>
      </c>
      <c r="H14" s="17">
        <f t="shared" si="1"/>
        <v>4.891607347433212</v>
      </c>
      <c r="I14" s="18"/>
      <c r="J14" s="23" t="s">
        <v>116</v>
      </c>
      <c r="K14" s="23">
        <v>9</v>
      </c>
      <c r="L14" s="30">
        <f>10*0.58174301262003</f>
        <v>5.8174301262003</v>
      </c>
      <c r="M14" s="15">
        <f>C14</f>
        <v>6.98221293985351</v>
      </c>
      <c r="N14" s="15">
        <f>G14</f>
        <v>70.05812325649065</v>
      </c>
      <c r="O14" s="16">
        <f>N14+((N14-$G$5)*((0.7*$M$2)/(0.3*L14)))</f>
        <v>64.44348081541625</v>
      </c>
      <c r="P14" s="16">
        <f t="shared" si="2"/>
        <v>3.7489544673281356</v>
      </c>
    </row>
    <row r="15" spans="1:16" s="14" customFormat="1" ht="12.75">
      <c r="A15" s="25" t="s">
        <v>240</v>
      </c>
      <c r="B15" s="25"/>
      <c r="C15" s="22"/>
      <c r="D15" s="22"/>
      <c r="E15" s="34"/>
      <c r="F15" s="22"/>
      <c r="G15" s="36">
        <f>AVERAGE(G12:G14)</f>
        <v>74.01658555211907</v>
      </c>
      <c r="H15" s="37">
        <f>AVERAGE(H12:H14)</f>
        <v>5.1679956140578005</v>
      </c>
      <c r="I15" s="19"/>
      <c r="J15" s="25" t="s">
        <v>205</v>
      </c>
      <c r="K15" s="25"/>
      <c r="L15" s="34"/>
      <c r="M15" s="35"/>
      <c r="N15" s="35"/>
      <c r="O15" s="43">
        <f>AVERAGE(O12:O14)</f>
        <v>81.90297295225359</v>
      </c>
      <c r="P15" s="36">
        <f>AVERAGE(P12:P14)</f>
        <v>4.764648222778084</v>
      </c>
    </row>
    <row r="16" spans="1:18" s="14" customFormat="1" ht="12.75">
      <c r="A16" s="25" t="s">
        <v>263</v>
      </c>
      <c r="B16" s="25"/>
      <c r="C16" s="22"/>
      <c r="D16" s="22"/>
      <c r="E16" s="34"/>
      <c r="F16" s="22"/>
      <c r="G16" s="36">
        <f>(STDEV(G12:G14))/(SQRT(3))</f>
        <v>2.3881367964523084</v>
      </c>
      <c r="H16" s="36">
        <f>(STDEV(H12:H14))/(SQRT(3))</f>
        <v>0.16674479642329598</v>
      </c>
      <c r="I16" s="19"/>
      <c r="J16" s="25" t="s">
        <v>335</v>
      </c>
      <c r="K16" s="25"/>
      <c r="L16" s="34"/>
      <c r="M16" s="35"/>
      <c r="N16" s="35"/>
      <c r="O16" s="43">
        <f>(STDEV(O12:O14))/(SQRT(3))</f>
        <v>10.533296140119425</v>
      </c>
      <c r="P16" s="36">
        <f>(STDEV(P12:P14))/(SQRT(3))</f>
        <v>0.6127671429371988</v>
      </c>
      <c r="Q16" s="14" t="s">
        <v>183</v>
      </c>
      <c r="R16" s="8">
        <f>100*(O16/O15)</f>
        <v>12.860700607607917</v>
      </c>
    </row>
    <row r="17" spans="1:16" ht="12.75">
      <c r="A17" s="23" t="s">
        <v>125</v>
      </c>
      <c r="B17" s="23">
        <v>1</v>
      </c>
      <c r="C17" s="32">
        <f>10*0.749102971941951</f>
        <v>7.49102971941951</v>
      </c>
      <c r="D17" s="32">
        <f>10*0.664301704958785</f>
        <v>6.643017049587851</v>
      </c>
      <c r="E17" s="30">
        <f>10*1.60123317096845</f>
        <v>16.0123317096845</v>
      </c>
      <c r="F17" s="32">
        <f>10*8.18752755845134</f>
        <v>81.87527558451339</v>
      </c>
      <c r="G17" s="16">
        <f t="shared" si="0"/>
        <v>82.65694303669747</v>
      </c>
      <c r="H17" s="17">
        <f t="shared" si="1"/>
        <v>6.191856168042663</v>
      </c>
      <c r="J17" s="23" t="s">
        <v>117</v>
      </c>
      <c r="K17" s="23">
        <v>1</v>
      </c>
      <c r="L17" s="30">
        <f>10*0.515212962280457</f>
        <v>5.15212962280457</v>
      </c>
      <c r="M17" s="15">
        <f>C17</f>
        <v>7.49102971941951</v>
      </c>
      <c r="N17" s="15">
        <f>G17</f>
        <v>82.65694303669747</v>
      </c>
      <c r="O17" s="16">
        <f>N17+((N17-$G$5)*((0.7*$M$2)/(0.3*L17)))</f>
        <v>124.83658826463414</v>
      </c>
      <c r="P17" s="16">
        <f t="shared" si="2"/>
        <v>6.43174284408079</v>
      </c>
    </row>
    <row r="18" spans="1:16" ht="12.75">
      <c r="A18" s="23" t="s">
        <v>125</v>
      </c>
      <c r="B18" s="23">
        <v>5</v>
      </c>
      <c r="C18" s="32">
        <f>10*0.749102971941951</f>
        <v>7.49102971941951</v>
      </c>
      <c r="D18" s="32">
        <f>10*0.694045575023698</f>
        <v>6.94045575023698</v>
      </c>
      <c r="E18" s="30">
        <f>10*1.60123317096845</f>
        <v>16.0123317096845</v>
      </c>
      <c r="F18" s="32">
        <f>10*8.15379470355361</f>
        <v>81.53794703553609</v>
      </c>
      <c r="G18" s="16">
        <f t="shared" si="0"/>
        <v>81.80545182005076</v>
      </c>
      <c r="H18" s="17">
        <f t="shared" si="1"/>
        <v>6.128070707945411</v>
      </c>
      <c r="J18" s="23" t="s">
        <v>117</v>
      </c>
      <c r="K18" s="23">
        <v>5</v>
      </c>
      <c r="L18" s="30">
        <f>10*0.515212962280457</f>
        <v>5.15212962280457</v>
      </c>
      <c r="M18" s="15">
        <f>C18</f>
        <v>7.49102971941951</v>
      </c>
      <c r="N18" s="15">
        <f>G18</f>
        <v>81.80545182005076</v>
      </c>
      <c r="O18" s="16">
        <f>N18+((N18-$G$5)*((0.7*$M$2)/(0.3*L18)))</f>
        <v>120.70591934952627</v>
      </c>
      <c r="P18" s="16">
        <f t="shared" si="2"/>
        <v>6.218925427285536</v>
      </c>
    </row>
    <row r="19" spans="1:16" ht="12.75">
      <c r="A19" s="23" t="s">
        <v>125</v>
      </c>
      <c r="B19" s="23">
        <v>11</v>
      </c>
      <c r="C19" s="32">
        <f>10*0.749102971941951</f>
        <v>7.49102971941951</v>
      </c>
      <c r="D19" s="32">
        <f>10*0.754798879542433</f>
        <v>7.547988795424329</v>
      </c>
      <c r="E19" s="30">
        <f>10*1.60123317096845</f>
        <v>16.0123317096845</v>
      </c>
      <c r="F19" s="32">
        <f>10*8.1146006519297</f>
        <v>81.146006519297</v>
      </c>
      <c r="G19" s="16">
        <f t="shared" si="0"/>
        <v>80.1172178757315</v>
      </c>
      <c r="H19" s="17">
        <f t="shared" si="1"/>
        <v>6.001604601443127</v>
      </c>
      <c r="J19" s="23" t="s">
        <v>118</v>
      </c>
      <c r="K19" s="23">
        <v>11</v>
      </c>
      <c r="L19" s="30">
        <f>10*0.515212962280457</f>
        <v>5.15212962280457</v>
      </c>
      <c r="M19" s="15">
        <f>C19</f>
        <v>7.49102971941951</v>
      </c>
      <c r="N19" s="15">
        <f>G19</f>
        <v>80.1172178757315</v>
      </c>
      <c r="O19" s="16">
        <f>N19+((N19-$G$5)*((0.7*$M$2)/(0.3*L19)))</f>
        <v>112.51612791199118</v>
      </c>
      <c r="P19" s="16">
        <f t="shared" si="2"/>
        <v>5.796976756586378</v>
      </c>
    </row>
    <row r="20" spans="1:16" s="14" customFormat="1" ht="12.75">
      <c r="A20" s="25" t="s">
        <v>229</v>
      </c>
      <c r="B20" s="25"/>
      <c r="C20" s="35"/>
      <c r="D20" s="35"/>
      <c r="E20" s="35"/>
      <c r="F20" s="35"/>
      <c r="G20" s="37">
        <f>AVERAGE(G17:G19)</f>
        <v>81.52653757749324</v>
      </c>
      <c r="H20" s="37">
        <f>AVERAGE(H17:H19)</f>
        <v>6.107177159143734</v>
      </c>
      <c r="I20" s="38"/>
      <c r="J20" s="22" t="s">
        <v>336</v>
      </c>
      <c r="K20" s="22"/>
      <c r="L20" s="22"/>
      <c r="M20" s="22"/>
      <c r="N20" s="22"/>
      <c r="O20" s="36">
        <f>AVERAGE(O17:O19)</f>
        <v>119.3528785087172</v>
      </c>
      <c r="P20" s="36">
        <f>AVERAGE(P17:P19)</f>
        <v>6.149215009317568</v>
      </c>
    </row>
    <row r="21" spans="1:18" s="14" customFormat="1" ht="12.75">
      <c r="A21" s="25" t="s">
        <v>230</v>
      </c>
      <c r="B21" s="25"/>
      <c r="C21" s="39"/>
      <c r="D21" s="39"/>
      <c r="E21" s="39"/>
      <c r="F21" s="39"/>
      <c r="G21" s="37">
        <f>(STDEV(G17:G19))/SQRT(3)</f>
        <v>0.7463010651064319</v>
      </c>
      <c r="H21" s="37">
        <f>(STDEV(H17:H19))/SQRT(3)</f>
        <v>0.05590563458346719</v>
      </c>
      <c r="I21" s="38"/>
      <c r="J21" s="22" t="s">
        <v>337</v>
      </c>
      <c r="K21" s="22"/>
      <c r="L21" s="22"/>
      <c r="M21" s="22"/>
      <c r="N21" s="22"/>
      <c r="O21" s="36">
        <f>(STDEV(O17:O19))/(SQRT(3))</f>
        <v>3.620380986532348</v>
      </c>
      <c r="P21" s="36">
        <f>(STDEV(P17:P19))/(SQRT(3))</f>
        <v>0.1865267212655177</v>
      </c>
      <c r="Q21" s="14" t="s">
        <v>183</v>
      </c>
      <c r="R21" s="14">
        <f>100*(O21/O20)</f>
        <v>3.0333419954072793</v>
      </c>
    </row>
    <row r="22" spans="1:11" ht="12.75">
      <c r="A22" s="31"/>
      <c r="B22" s="31"/>
      <c r="C22" s="26"/>
      <c r="D22" s="26"/>
      <c r="E22" s="26"/>
      <c r="F22" s="26"/>
      <c r="G22" s="26"/>
      <c r="H22" s="26"/>
      <c r="I22" s="26"/>
      <c r="J22"/>
      <c r="K22"/>
    </row>
    <row r="23" spans="1:11" ht="12.75">
      <c r="A23" t="s">
        <v>148</v>
      </c>
      <c r="G23" t="s">
        <v>148</v>
      </c>
      <c r="J23"/>
      <c r="K23"/>
    </row>
    <row r="24" spans="1:11" ht="12.75">
      <c r="A24" s="14" t="s">
        <v>210</v>
      </c>
      <c r="B24" s="14" t="s">
        <v>19</v>
      </c>
      <c r="C24" s="14" t="s">
        <v>143</v>
      </c>
      <c r="D24" s="52" t="s">
        <v>33</v>
      </c>
      <c r="G24" s="14" t="s">
        <v>145</v>
      </c>
      <c r="H24" s="14" t="s">
        <v>20</v>
      </c>
      <c r="I24" s="14" t="s">
        <v>146</v>
      </c>
      <c r="J24" s="52" t="s">
        <v>144</v>
      </c>
      <c r="K24"/>
    </row>
    <row r="25" spans="1:11" ht="12.75">
      <c r="A25" t="s">
        <v>320</v>
      </c>
      <c r="B25" s="47">
        <f>10*0.850344241208255</f>
        <v>8.503442412082551</v>
      </c>
      <c r="C25" s="47">
        <v>71.7043199294726</v>
      </c>
      <c r="D25" s="48">
        <v>6.097335552178134</v>
      </c>
      <c r="G25" s="51" t="s">
        <v>82</v>
      </c>
      <c r="H25" s="47">
        <f>10*0.477037241727282</f>
        <v>4.77037241727282</v>
      </c>
      <c r="I25" s="47">
        <v>95.43401403179443</v>
      </c>
      <c r="J25" s="47">
        <v>4.552557882068994</v>
      </c>
      <c r="K25"/>
    </row>
    <row r="26" spans="1:11" ht="12.75">
      <c r="A26" s="49" t="s">
        <v>321</v>
      </c>
      <c r="B26" s="47">
        <f>10*0.603045241670794</f>
        <v>6.03045241670794</v>
      </c>
      <c r="C26" s="47">
        <v>76.3037300973739</v>
      </c>
      <c r="D26" s="48">
        <v>4.601460135695389</v>
      </c>
      <c r="G26" s="51" t="s">
        <v>83</v>
      </c>
      <c r="H26" s="47">
        <f>10*0.58174301262003</f>
        <v>5.8174301262003</v>
      </c>
      <c r="I26" s="47">
        <v>81.90297295225356</v>
      </c>
      <c r="J26" s="47">
        <v>4.764648222778084</v>
      </c>
      <c r="K26"/>
    </row>
    <row r="27" spans="1:10" s="14" customFormat="1" ht="12.75">
      <c r="A27" t="s">
        <v>322</v>
      </c>
      <c r="B27" s="47">
        <f>10*0.698221293985351</f>
        <v>6.98221293985351</v>
      </c>
      <c r="C27" s="47">
        <v>74.01658555211907</v>
      </c>
      <c r="D27" s="48">
        <v>5.1679956140578</v>
      </c>
      <c r="G27" s="51" t="s">
        <v>84</v>
      </c>
      <c r="H27" s="47">
        <f>10*0.515212962280457</f>
        <v>5.15212962280457</v>
      </c>
      <c r="I27" s="47">
        <v>119.35287850871718</v>
      </c>
      <c r="J27" s="47">
        <v>6.149215009317568</v>
      </c>
    </row>
    <row r="28" spans="1:10" s="14" customFormat="1" ht="12.75">
      <c r="A28" t="s">
        <v>323</v>
      </c>
      <c r="B28" s="47">
        <f>10*0.749102971941951</f>
        <v>7.49102971941951</v>
      </c>
      <c r="C28" s="48">
        <v>81.52653757749322</v>
      </c>
      <c r="D28" s="48">
        <v>6.107177159143734</v>
      </c>
      <c r="G28"/>
      <c r="I28"/>
      <c r="J28" s="50"/>
    </row>
    <row r="29" spans="10:11" ht="12.75">
      <c r="J29"/>
      <c r="K29"/>
    </row>
    <row r="30" spans="1:11" ht="12.75">
      <c r="A30" t="s">
        <v>147</v>
      </c>
      <c r="G30" t="s">
        <v>147</v>
      </c>
      <c r="J30"/>
      <c r="K30"/>
    </row>
    <row r="31" spans="1:11" ht="12.75">
      <c r="A31" s="14" t="s">
        <v>210</v>
      </c>
      <c r="B31" s="14" t="s">
        <v>292</v>
      </c>
      <c r="C31" s="14" t="s">
        <v>143</v>
      </c>
      <c r="D31" s="52" t="s">
        <v>144</v>
      </c>
      <c r="G31" s="14" t="s">
        <v>145</v>
      </c>
      <c r="H31" s="14" t="s">
        <v>294</v>
      </c>
      <c r="I31" s="14" t="s">
        <v>146</v>
      </c>
      <c r="J31" s="52" t="s">
        <v>144</v>
      </c>
      <c r="K31"/>
    </row>
    <row r="32" spans="1:10" s="14" customFormat="1" ht="12.75">
      <c r="A32" t="s">
        <v>85</v>
      </c>
      <c r="B32" s="47">
        <v>0.45250116660119755</v>
      </c>
      <c r="C32" s="47">
        <v>1.7038075060482554</v>
      </c>
      <c r="D32" s="47">
        <v>0.144882290089522</v>
      </c>
      <c r="G32" t="s">
        <v>149</v>
      </c>
      <c r="H32" s="47">
        <v>0.4134210360534149</v>
      </c>
      <c r="I32" s="47">
        <v>7.106724224306878</v>
      </c>
      <c r="J32" s="47">
        <v>0.339017212167977</v>
      </c>
    </row>
    <row r="33" spans="1:10" s="14" customFormat="1" ht="12.75">
      <c r="A33" s="49" t="s">
        <v>150</v>
      </c>
      <c r="B33" s="47">
        <v>0.7021297114531337</v>
      </c>
      <c r="C33" s="47">
        <v>1.3774614841981838</v>
      </c>
      <c r="D33" s="47">
        <v>0.083067159363033</v>
      </c>
      <c r="G33" t="s">
        <v>151</v>
      </c>
      <c r="H33" s="47">
        <v>0.030407757671955644</v>
      </c>
      <c r="I33" s="47">
        <v>10.533296140119429</v>
      </c>
      <c r="J33" s="47">
        <v>0.612767142937199</v>
      </c>
    </row>
    <row r="34" spans="1:11" ht="12.75">
      <c r="A34" t="s">
        <v>79</v>
      </c>
      <c r="B34" s="47">
        <v>0.1278216451582206</v>
      </c>
      <c r="C34" s="47">
        <v>2.3881367964520814</v>
      </c>
      <c r="D34" s="47">
        <v>0.166744796423298</v>
      </c>
      <c r="G34" s="51" t="s">
        <v>80</v>
      </c>
      <c r="H34" s="47">
        <v>0.45331876701294654</v>
      </c>
      <c r="I34" s="47">
        <v>3.620380986532453</v>
      </c>
      <c r="J34" s="47">
        <v>0.186526721265529</v>
      </c>
      <c r="K34"/>
    </row>
    <row r="35" spans="1:11" ht="12.75">
      <c r="A35" t="s">
        <v>81</v>
      </c>
      <c r="B35" s="47">
        <v>0.5006321649301051</v>
      </c>
      <c r="C35" s="48">
        <v>0.746301065106116</v>
      </c>
      <c r="D35" s="48">
        <v>0.0559056345834625</v>
      </c>
      <c r="J35"/>
      <c r="K35"/>
    </row>
    <row r="36" spans="10:11" ht="12.75">
      <c r="J36"/>
      <c r="K36"/>
    </row>
    <row r="37" s="14" customFormat="1" ht="12.75">
      <c r="H37"/>
    </row>
    <row r="38" spans="1:8" s="14" customFormat="1" ht="12.75">
      <c r="A38"/>
      <c r="B38"/>
      <c r="C38"/>
      <c r="D38"/>
      <c r="E38"/>
      <c r="F38"/>
      <c r="G38"/>
      <c r="H38"/>
    </row>
    <row r="39" spans="10:11" ht="12.75">
      <c r="J39"/>
      <c r="K39"/>
    </row>
    <row r="40" spans="10:11" ht="12.75">
      <c r="J40"/>
      <c r="K40"/>
    </row>
    <row r="41" spans="10:11" ht="12.75">
      <c r="J41"/>
      <c r="K41"/>
    </row>
    <row r="42" s="14" customFormat="1" ht="13.5" customHeight="1"/>
    <row r="43" s="14" customFormat="1" ht="12.75"/>
    <row r="44" spans="10:11" ht="12.75">
      <c r="J44"/>
      <c r="K44"/>
    </row>
    <row r="45" spans="10:11" ht="12.75">
      <c r="J45"/>
      <c r="K45"/>
    </row>
    <row r="46" spans="10:11" ht="12.75">
      <c r="J46"/>
      <c r="K46"/>
    </row>
    <row r="47" spans="10:11" ht="12.75">
      <c r="J47"/>
      <c r="K47"/>
    </row>
    <row r="48" ht="12.75">
      <c r="J48"/>
    </row>
    <row r="49" spans="10:11" ht="12.75">
      <c r="J49"/>
      <c r="K49"/>
    </row>
    <row r="50" spans="10:11" ht="12.75">
      <c r="J50"/>
      <c r="K50"/>
    </row>
    <row r="51" spans="10:11" ht="12.75">
      <c r="J51"/>
      <c r="K51"/>
    </row>
    <row r="52" spans="10:11" ht="12.75">
      <c r="J52"/>
      <c r="K52"/>
    </row>
  </sheetData>
  <sheetProtection/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18" sqref="G18"/>
    </sheetView>
  </sheetViews>
  <sheetFormatPr defaultColWidth="11.00390625" defaultRowHeight="12.75"/>
  <cols>
    <col min="1" max="1" width="4.625" style="0" customWidth="1"/>
    <col min="2" max="2" width="6.00390625" style="0" bestFit="1" customWidth="1"/>
    <col min="3" max="3" width="17.125" style="0" customWidth="1"/>
    <col min="5" max="5" width="12.125" style="0" bestFit="1" customWidth="1"/>
    <col min="6" max="10" width="10.875" style="0" bestFit="1" customWidth="1"/>
    <col min="23" max="23" width="12.125" style="0" bestFit="1" customWidth="1"/>
  </cols>
  <sheetData>
    <row r="1" spans="1:27" ht="55.5">
      <c r="A1" s="53" t="s">
        <v>266</v>
      </c>
      <c r="B1" s="53" t="s">
        <v>267</v>
      </c>
      <c r="C1" s="53" t="s">
        <v>269</v>
      </c>
      <c r="D1" s="53" t="s">
        <v>330</v>
      </c>
      <c r="E1" s="53" t="s">
        <v>329</v>
      </c>
      <c r="F1" s="53" t="s">
        <v>331</v>
      </c>
      <c r="G1" s="53" t="s">
        <v>332</v>
      </c>
      <c r="H1" s="54" t="s">
        <v>304</v>
      </c>
      <c r="I1" s="53" t="s">
        <v>333</v>
      </c>
      <c r="J1" s="53" t="s">
        <v>310</v>
      </c>
      <c r="K1" s="54" t="s">
        <v>312</v>
      </c>
      <c r="L1" s="53" t="s">
        <v>311</v>
      </c>
      <c r="M1" s="53" t="s">
        <v>306</v>
      </c>
      <c r="N1" s="54" t="s">
        <v>270</v>
      </c>
      <c r="O1" s="54" t="s">
        <v>271</v>
      </c>
      <c r="P1" s="53" t="s">
        <v>307</v>
      </c>
      <c r="Q1" s="54" t="s">
        <v>303</v>
      </c>
      <c r="R1" s="55" t="s">
        <v>272</v>
      </c>
      <c r="S1" s="56" t="s">
        <v>301</v>
      </c>
      <c r="T1" s="56" t="s">
        <v>302</v>
      </c>
      <c r="U1" s="57" t="s">
        <v>273</v>
      </c>
      <c r="V1" s="57" t="s">
        <v>313</v>
      </c>
      <c r="W1" s="54" t="s">
        <v>300</v>
      </c>
      <c r="X1" s="58" t="s">
        <v>274</v>
      </c>
      <c r="Y1" s="59" t="s">
        <v>275</v>
      </c>
      <c r="Z1" s="61" t="s">
        <v>328</v>
      </c>
      <c r="AA1" t="s">
        <v>276</v>
      </c>
    </row>
    <row r="2" spans="1:27" ht="12.75">
      <c r="A2" t="s">
        <v>277</v>
      </c>
      <c r="B2">
        <v>2</v>
      </c>
      <c r="C2">
        <v>12</v>
      </c>
      <c r="D2">
        <v>21.6</v>
      </c>
      <c r="E2">
        <v>35.5</v>
      </c>
      <c r="F2">
        <f aca="true" t="shared" si="0" ref="F2:F13">D2*$H$15/100</f>
        <v>6.1667478884880005</v>
      </c>
      <c r="G2">
        <f aca="true" t="shared" si="1" ref="G2:G13">E2*H2/100</f>
        <v>10.135164353765001</v>
      </c>
      <c r="H2">
        <v>28.549758743</v>
      </c>
      <c r="I2">
        <v>268.1625</v>
      </c>
      <c r="J2">
        <f aca="true" t="shared" si="2" ref="J2:J13">I2/C2</f>
        <v>22.346875</v>
      </c>
      <c r="K2">
        <v>93.8112166600065</v>
      </c>
      <c r="L2">
        <f aca="true" t="shared" si="3" ref="L2:L13">J2*K2/100</f>
        <v>20.963875322990827</v>
      </c>
      <c r="M2">
        <v>2.2871648062428025</v>
      </c>
      <c r="N2">
        <f aca="true" t="shared" si="4" ref="N2:N13">F2*$M$15/100</f>
        <v>0.13055009858069308</v>
      </c>
      <c r="O2">
        <f aca="true" t="shared" si="5" ref="O2:O13">G2*M2/100</f>
        <v>0.23180791215417887</v>
      </c>
      <c r="P2">
        <v>0.8503442412082549</v>
      </c>
      <c r="Q2">
        <f aca="true" t="shared" si="6" ref="Q2:Q13">L2*P2/100</f>
        <v>0.17826510654313094</v>
      </c>
      <c r="R2">
        <f aca="true" t="shared" si="7" ref="R2:R13">(Q2/(G2-F2))*1000</f>
        <v>44.92096736895476</v>
      </c>
      <c r="S2">
        <f aca="true" t="shared" si="8" ref="S2:S13">((G2*M2)/100)-((F2*$M$15)/100)</f>
        <v>0.10125781357348579</v>
      </c>
      <c r="T2">
        <f aca="true" t="shared" si="9" ref="T2:T13">(S2/(G2-F2))*1000</f>
        <v>25.515924162565906</v>
      </c>
      <c r="U2">
        <f aca="true" t="shared" si="10" ref="U2:U13">R2-T2</f>
        <v>19.405043206388857</v>
      </c>
      <c r="V2" s="49">
        <v>69.18201731181242</v>
      </c>
      <c r="W2">
        <f aca="true" t="shared" si="11" ref="W2:W13">V2/100</f>
        <v>0.6918201731181242</v>
      </c>
      <c r="X2">
        <f aca="true" t="shared" si="12" ref="X2:X13">W2*R2-T2</f>
        <v>5.561307259257983</v>
      </c>
      <c r="Y2">
        <f aca="true" t="shared" si="13" ref="Y2:Y13">(1-W2)*R2</f>
        <v>13.843735947130872</v>
      </c>
      <c r="Z2">
        <f aca="true" t="shared" si="14" ref="Z2:Z13">Y2+X2</f>
        <v>19.405043206388854</v>
      </c>
      <c r="AA2">
        <f aca="true" t="shared" si="15" ref="AA2:AA13">(O2-N2)/Q2*100</f>
        <v>56.80181362300796</v>
      </c>
    </row>
    <row r="3" spans="1:27" ht="12.75">
      <c r="A3" t="s">
        <v>277</v>
      </c>
      <c r="B3">
        <v>4</v>
      </c>
      <c r="C3">
        <v>14</v>
      </c>
      <c r="D3">
        <v>20.5</v>
      </c>
      <c r="E3">
        <v>35.857142857142854</v>
      </c>
      <c r="F3">
        <f t="shared" si="0"/>
        <v>5.8527005423150005</v>
      </c>
      <c r="G3">
        <f t="shared" si="1"/>
        <v>10.237127777847142</v>
      </c>
      <c r="H3">
        <v>28.549758743</v>
      </c>
      <c r="I3">
        <v>274.925</v>
      </c>
      <c r="J3">
        <f t="shared" si="2"/>
        <v>19.6375</v>
      </c>
      <c r="K3">
        <v>93.8112166600065</v>
      </c>
      <c r="L3">
        <f t="shared" si="3"/>
        <v>18.422177671608775</v>
      </c>
      <c r="M3">
        <v>1.9494821068224135</v>
      </c>
      <c r="N3">
        <f t="shared" si="4"/>
        <v>0.12390171393075038</v>
      </c>
      <c r="O3">
        <f t="shared" si="5"/>
        <v>0.199570974281677</v>
      </c>
      <c r="P3">
        <v>0.8503442412082549</v>
      </c>
      <c r="Q3">
        <f t="shared" si="6"/>
        <v>0.1566519269356782</v>
      </c>
      <c r="R3">
        <f t="shared" si="7"/>
        <v>35.72916564018771</v>
      </c>
      <c r="S3">
        <f t="shared" si="8"/>
        <v>0.07566926035092662</v>
      </c>
      <c r="T3">
        <f t="shared" si="9"/>
        <v>17.258642072490133</v>
      </c>
      <c r="U3">
        <f t="shared" si="10"/>
        <v>18.470523567697576</v>
      </c>
      <c r="V3" s="49">
        <v>74.94975251415683</v>
      </c>
      <c r="W3">
        <f t="shared" si="11"/>
        <v>0.7494975251415683</v>
      </c>
      <c r="X3">
        <f t="shared" si="12"/>
        <v>9.520279150203713</v>
      </c>
      <c r="Y3">
        <f t="shared" si="13"/>
        <v>8.950244417493863</v>
      </c>
      <c r="Z3">
        <f t="shared" si="14"/>
        <v>18.470523567697576</v>
      </c>
      <c r="AA3">
        <f t="shared" si="15"/>
        <v>48.30407249442688</v>
      </c>
    </row>
    <row r="4" spans="1:27" ht="12.75">
      <c r="A4" t="s">
        <v>280</v>
      </c>
      <c r="B4">
        <v>7</v>
      </c>
      <c r="C4">
        <v>15</v>
      </c>
      <c r="D4">
        <v>22</v>
      </c>
      <c r="E4">
        <v>35.333333333333336</v>
      </c>
      <c r="F4">
        <f t="shared" si="0"/>
        <v>6.28094692346</v>
      </c>
      <c r="G4">
        <f t="shared" si="1"/>
        <v>10.087581422526668</v>
      </c>
      <c r="H4">
        <v>28.549758743</v>
      </c>
      <c r="I4">
        <v>271.45625</v>
      </c>
      <c r="J4">
        <f t="shared" si="2"/>
        <v>18.097083333333334</v>
      </c>
      <c r="K4">
        <v>93.8112166600065</v>
      </c>
      <c r="L4">
        <f t="shared" si="3"/>
        <v>16.97709405497526</v>
      </c>
      <c r="M4">
        <v>2.3864479041861575</v>
      </c>
      <c r="N4">
        <f t="shared" si="4"/>
        <v>0.13296769299885405</v>
      </c>
      <c r="O4">
        <f t="shared" si="5"/>
        <v>0.24073487544095984</v>
      </c>
      <c r="P4">
        <v>0.8503442412082549</v>
      </c>
      <c r="Q4">
        <f t="shared" si="6"/>
        <v>0.14436374162099114</v>
      </c>
      <c r="R4">
        <f t="shared" si="7"/>
        <v>37.9242455918442</v>
      </c>
      <c r="S4">
        <f t="shared" si="8"/>
        <v>0.10776718244210579</v>
      </c>
      <c r="T4">
        <f t="shared" si="9"/>
        <v>28.31035721147611</v>
      </c>
      <c r="U4">
        <f t="shared" si="10"/>
        <v>9.613888380368088</v>
      </c>
      <c r="V4" s="49">
        <v>70.98118996244852</v>
      </c>
      <c r="W4">
        <f t="shared" si="11"/>
        <v>0.7098118996244852</v>
      </c>
      <c r="X4">
        <f t="shared" si="12"/>
        <v>-1.391276406103671</v>
      </c>
      <c r="Y4">
        <f t="shared" si="13"/>
        <v>11.005164786471758</v>
      </c>
      <c r="Z4">
        <f t="shared" si="14"/>
        <v>9.613888380368087</v>
      </c>
      <c r="AA4">
        <f t="shared" si="15"/>
        <v>74.64975708722969</v>
      </c>
    </row>
    <row r="5" spans="1:27" ht="12.75">
      <c r="A5" t="s">
        <v>86</v>
      </c>
      <c r="B5">
        <v>8</v>
      </c>
      <c r="C5">
        <v>15</v>
      </c>
      <c r="D5">
        <v>22.8</v>
      </c>
      <c r="E5">
        <v>32.93333333333333</v>
      </c>
      <c r="F5">
        <f t="shared" si="0"/>
        <v>6.509344993404</v>
      </c>
      <c r="G5">
        <f t="shared" si="1"/>
        <v>9.402387212694666</v>
      </c>
      <c r="H5">
        <v>28.549758743</v>
      </c>
      <c r="I5">
        <v>275.3375</v>
      </c>
      <c r="J5">
        <f t="shared" si="2"/>
        <v>18.355833333333333</v>
      </c>
      <c r="K5">
        <v>92.8772594751028</v>
      </c>
      <c r="L5">
        <f t="shared" si="3"/>
        <v>17.04839495381741</v>
      </c>
      <c r="M5">
        <v>2.3298519963997695</v>
      </c>
      <c r="N5">
        <f t="shared" si="4"/>
        <v>0.13780288183517603</v>
      </c>
      <c r="O5">
        <f t="shared" si="5"/>
        <v>0.21906170618420334</v>
      </c>
      <c r="P5">
        <v>0.6030452416707938</v>
      </c>
      <c r="Q5">
        <f t="shared" si="6"/>
        <v>0.10280953455023961</v>
      </c>
      <c r="R5">
        <f t="shared" si="7"/>
        <v>35.53682482222713</v>
      </c>
      <c r="S5">
        <f t="shared" si="8"/>
        <v>0.08125882434902731</v>
      </c>
      <c r="T5">
        <f t="shared" si="9"/>
        <v>28.08767317918743</v>
      </c>
      <c r="U5">
        <f t="shared" si="10"/>
        <v>7.449151643039702</v>
      </c>
      <c r="V5" s="49">
        <v>77.6559136886089</v>
      </c>
      <c r="W5">
        <f t="shared" si="11"/>
        <v>0.776559136886089</v>
      </c>
      <c r="X5">
        <f t="shared" si="12"/>
        <v>-0.4912271675665849</v>
      </c>
      <c r="Y5">
        <f t="shared" si="13"/>
        <v>7.940378810606287</v>
      </c>
      <c r="Z5">
        <f t="shared" si="14"/>
        <v>7.449151643039702</v>
      </c>
      <c r="AA5">
        <f t="shared" si="15"/>
        <v>79.0382182980498</v>
      </c>
    </row>
    <row r="6" spans="1:27" ht="12.75">
      <c r="A6" t="s">
        <v>86</v>
      </c>
      <c r="B6">
        <v>10</v>
      </c>
      <c r="C6">
        <v>15</v>
      </c>
      <c r="D6">
        <v>20.5</v>
      </c>
      <c r="E6">
        <v>35.2</v>
      </c>
      <c r="F6">
        <f t="shared" si="0"/>
        <v>5.8527005423150005</v>
      </c>
      <c r="G6">
        <f t="shared" si="1"/>
        <v>10.049515077536002</v>
      </c>
      <c r="H6">
        <v>28.549758743</v>
      </c>
      <c r="I6">
        <v>278.65625</v>
      </c>
      <c r="J6">
        <f t="shared" si="2"/>
        <v>18.577083333333334</v>
      </c>
      <c r="K6">
        <v>92.8772594751028</v>
      </c>
      <c r="L6">
        <f t="shared" si="3"/>
        <v>17.253885890406078</v>
      </c>
      <c r="M6">
        <v>2.1511148624732854</v>
      </c>
      <c r="N6">
        <f t="shared" si="4"/>
        <v>0.12390171393075038</v>
      </c>
      <c r="O6">
        <f t="shared" si="5"/>
        <v>0.21617661243937064</v>
      </c>
      <c r="P6">
        <v>0.6030452416707938</v>
      </c>
      <c r="Q6">
        <f t="shared" si="6"/>
        <v>0.10404873786540232</v>
      </c>
      <c r="R6">
        <f t="shared" si="7"/>
        <v>24.79231259618271</v>
      </c>
      <c r="S6">
        <f t="shared" si="8"/>
        <v>0.09227489850862026</v>
      </c>
      <c r="T6">
        <f t="shared" si="9"/>
        <v>21.98688975512737</v>
      </c>
      <c r="U6">
        <f t="shared" si="10"/>
        <v>2.805422841055343</v>
      </c>
      <c r="V6" s="49">
        <v>77.70631578348431</v>
      </c>
      <c r="W6">
        <f t="shared" si="11"/>
        <v>0.7770631578348431</v>
      </c>
      <c r="X6">
        <f t="shared" si="12"/>
        <v>-2.721697039109074</v>
      </c>
      <c r="Y6">
        <f t="shared" si="13"/>
        <v>5.527119880164415</v>
      </c>
      <c r="Z6">
        <f t="shared" si="14"/>
        <v>2.805422841055341</v>
      </c>
      <c r="AA6">
        <f t="shared" si="15"/>
        <v>88.68430353089653</v>
      </c>
    </row>
    <row r="7" spans="1:27" ht="12.75">
      <c r="A7" t="s">
        <v>334</v>
      </c>
      <c r="B7">
        <v>12</v>
      </c>
      <c r="C7">
        <v>15</v>
      </c>
      <c r="D7">
        <v>21.7</v>
      </c>
      <c r="E7">
        <v>35.46666666666667</v>
      </c>
      <c r="F7">
        <f t="shared" si="0"/>
        <v>6.195297647231</v>
      </c>
      <c r="G7">
        <f t="shared" si="1"/>
        <v>10.125647767517334</v>
      </c>
      <c r="H7">
        <v>28.549758743</v>
      </c>
      <c r="I7">
        <v>272.45625</v>
      </c>
      <c r="J7">
        <f t="shared" si="2"/>
        <v>18.16375</v>
      </c>
      <c r="K7">
        <v>92.8772594751028</v>
      </c>
      <c r="L7">
        <f t="shared" si="3"/>
        <v>16.869993217908988</v>
      </c>
      <c r="M7">
        <v>2.226454281677917</v>
      </c>
      <c r="N7">
        <f t="shared" si="4"/>
        <v>0.13115449718523334</v>
      </c>
      <c r="O7">
        <f t="shared" si="5"/>
        <v>0.2254429182675141</v>
      </c>
      <c r="P7">
        <v>0.6030452416707938</v>
      </c>
      <c r="Q7">
        <f t="shared" si="6"/>
        <v>0.10173369137078576</v>
      </c>
      <c r="R7">
        <f t="shared" si="7"/>
        <v>25.884129468693306</v>
      </c>
      <c r="S7">
        <f t="shared" si="8"/>
        <v>0.09428842108228075</v>
      </c>
      <c r="T7">
        <f t="shared" si="9"/>
        <v>23.98982741909305</v>
      </c>
      <c r="U7">
        <f t="shared" si="10"/>
        <v>1.894302049600256</v>
      </c>
      <c r="V7" s="49">
        <v>73.54896082002853</v>
      </c>
      <c r="W7">
        <f t="shared" si="11"/>
        <v>0.7354896082002853</v>
      </c>
      <c r="X7">
        <f t="shared" si="12"/>
        <v>-4.952319177558351</v>
      </c>
      <c r="Y7">
        <f t="shared" si="13"/>
        <v>6.846621227158607</v>
      </c>
      <c r="Z7">
        <f t="shared" si="14"/>
        <v>1.894302049600256</v>
      </c>
      <c r="AA7">
        <f t="shared" si="15"/>
        <v>92.68160804136217</v>
      </c>
    </row>
    <row r="8" spans="1:27" ht="12.75">
      <c r="A8" t="s">
        <v>278</v>
      </c>
      <c r="B8">
        <v>3</v>
      </c>
      <c r="C8">
        <v>15</v>
      </c>
      <c r="D8">
        <v>22.5</v>
      </c>
      <c r="E8">
        <v>35.733333333333334</v>
      </c>
      <c r="F8">
        <f t="shared" si="0"/>
        <v>6.423695717175001</v>
      </c>
      <c r="G8">
        <f t="shared" si="1"/>
        <v>10.201780457498668</v>
      </c>
      <c r="H8">
        <v>28.549758743</v>
      </c>
      <c r="I8">
        <v>269.3375</v>
      </c>
      <c r="J8">
        <f t="shared" si="2"/>
        <v>17.95583333333333</v>
      </c>
      <c r="K8">
        <v>93.22851714047313</v>
      </c>
      <c r="L8">
        <f t="shared" si="3"/>
        <v>16.739957156881452</v>
      </c>
      <c r="M8">
        <v>2.088853728981023</v>
      </c>
      <c r="N8">
        <f t="shared" si="4"/>
        <v>0.1359896860215553</v>
      </c>
      <c r="O8">
        <f t="shared" si="5"/>
        <v>0.2131002715089182</v>
      </c>
      <c r="P8">
        <v>0.6982212939853509</v>
      </c>
      <c r="Q8">
        <f t="shared" si="6"/>
        <v>0.11688194547337102</v>
      </c>
      <c r="R8">
        <f t="shared" si="7"/>
        <v>30.936824742411098</v>
      </c>
      <c r="S8">
        <f t="shared" si="8"/>
        <v>0.07711058548736288</v>
      </c>
      <c r="T8">
        <f t="shared" si="9"/>
        <v>20.409967162556775</v>
      </c>
      <c r="U8">
        <f t="shared" si="10"/>
        <v>10.526857579854322</v>
      </c>
      <c r="V8" s="49">
        <v>73.68118405817893</v>
      </c>
      <c r="W8">
        <f t="shared" si="11"/>
        <v>0.7368118405817893</v>
      </c>
      <c r="X8">
        <f t="shared" si="12"/>
        <v>2.3846516176553862</v>
      </c>
      <c r="Y8">
        <f t="shared" si="13"/>
        <v>8.142205962198938</v>
      </c>
      <c r="Z8">
        <f t="shared" si="14"/>
        <v>10.526857579854324</v>
      </c>
      <c r="AA8">
        <f t="shared" si="15"/>
        <v>65.97305099180679</v>
      </c>
    </row>
    <row r="9" spans="1:27" ht="12.75">
      <c r="A9" t="s">
        <v>279</v>
      </c>
      <c r="B9">
        <v>6</v>
      </c>
      <c r="C9">
        <v>15</v>
      </c>
      <c r="D9">
        <v>22.5</v>
      </c>
      <c r="E9">
        <v>36.266666666666666</v>
      </c>
      <c r="F9">
        <f t="shared" si="0"/>
        <v>6.423695717175001</v>
      </c>
      <c r="G9">
        <f t="shared" si="1"/>
        <v>10.354045837461333</v>
      </c>
      <c r="H9">
        <v>28.549758743</v>
      </c>
      <c r="I9">
        <v>277.58750000000003</v>
      </c>
      <c r="J9">
        <f t="shared" si="2"/>
        <v>18.505833333333335</v>
      </c>
      <c r="K9">
        <v>93.22851714047313</v>
      </c>
      <c r="L9">
        <f t="shared" si="3"/>
        <v>17.252714001154057</v>
      </c>
      <c r="M9">
        <v>1.7226803268999789</v>
      </c>
      <c r="N9">
        <f t="shared" si="4"/>
        <v>0.1359896860215553</v>
      </c>
      <c r="O9">
        <f t="shared" si="5"/>
        <v>0.17836711068015254</v>
      </c>
      <c r="P9">
        <v>0.6982212939853509</v>
      </c>
      <c r="Q9">
        <f t="shared" si="6"/>
        <v>0.12046212294644967</v>
      </c>
      <c r="R9">
        <f t="shared" si="7"/>
        <v>30.649209169607975</v>
      </c>
      <c r="S9">
        <f t="shared" si="8"/>
        <v>0.04237742465859723</v>
      </c>
      <c r="T9">
        <f t="shared" si="9"/>
        <v>10.78209914171971</v>
      </c>
      <c r="U9">
        <f t="shared" si="10"/>
        <v>19.867110027888266</v>
      </c>
      <c r="V9" s="49">
        <v>78.3104493416876</v>
      </c>
      <c r="W9">
        <f t="shared" si="11"/>
        <v>0.783104493416876</v>
      </c>
      <c r="X9">
        <f t="shared" si="12"/>
        <v>13.219434278674013</v>
      </c>
      <c r="Y9">
        <f t="shared" si="13"/>
        <v>6.647675749214249</v>
      </c>
      <c r="Z9">
        <f t="shared" si="14"/>
        <v>19.867110027888263</v>
      </c>
      <c r="AA9">
        <f t="shared" si="15"/>
        <v>35.179045182057536</v>
      </c>
    </row>
    <row r="10" spans="1:27" ht="12.75">
      <c r="A10" t="s">
        <v>279</v>
      </c>
      <c r="B10">
        <v>9</v>
      </c>
      <c r="C10">
        <v>15</v>
      </c>
      <c r="D10">
        <v>20.5</v>
      </c>
      <c r="E10">
        <v>31.066666666666666</v>
      </c>
      <c r="F10">
        <f t="shared" si="0"/>
        <v>5.8527005423150005</v>
      </c>
      <c r="G10">
        <f t="shared" si="1"/>
        <v>8.869458382825334</v>
      </c>
      <c r="H10">
        <v>28.549758743</v>
      </c>
      <c r="I10">
        <v>275.65625</v>
      </c>
      <c r="J10">
        <f t="shared" si="2"/>
        <v>18.377083333333335</v>
      </c>
      <c r="K10">
        <v>93.22851714047313</v>
      </c>
      <c r="L10">
        <f t="shared" si="3"/>
        <v>17.1326822853357</v>
      </c>
      <c r="M10">
        <v>2.213959677012856</v>
      </c>
      <c r="N10">
        <f t="shared" si="4"/>
        <v>0.12390171393075038</v>
      </c>
      <c r="O10">
        <f t="shared" si="5"/>
        <v>0.19636623216518945</v>
      </c>
      <c r="P10">
        <v>0.6982212939853509</v>
      </c>
      <c r="Q10">
        <f t="shared" si="6"/>
        <v>0.11962403594706993</v>
      </c>
      <c r="R10">
        <f t="shared" si="7"/>
        <v>39.653178104223834</v>
      </c>
      <c r="S10">
        <f t="shared" si="8"/>
        <v>0.07246451823443907</v>
      </c>
      <c r="T10">
        <f t="shared" si="9"/>
        <v>24.020661274615442</v>
      </c>
      <c r="U10">
        <f t="shared" si="10"/>
        <v>15.632516829608392</v>
      </c>
      <c r="V10" s="49">
        <v>70.05812325649065</v>
      </c>
      <c r="W10">
        <f t="shared" si="11"/>
        <v>0.7005812325649065</v>
      </c>
      <c r="X10">
        <f t="shared" si="12"/>
        <v>3.7596111167574513</v>
      </c>
      <c r="Y10">
        <f t="shared" si="13"/>
        <v>11.87290571285094</v>
      </c>
      <c r="Z10">
        <f t="shared" si="14"/>
        <v>15.632516829608392</v>
      </c>
      <c r="AA10">
        <f t="shared" si="15"/>
        <v>60.576887964641536</v>
      </c>
    </row>
    <row r="11" spans="1:27" ht="12.75">
      <c r="A11" t="s">
        <v>157</v>
      </c>
      <c r="B11">
        <v>1</v>
      </c>
      <c r="C11">
        <v>13</v>
      </c>
      <c r="D11">
        <v>22.1</v>
      </c>
      <c r="E11">
        <v>40.76923076923077</v>
      </c>
      <c r="F11">
        <f t="shared" si="0"/>
        <v>6.309496682203001</v>
      </c>
      <c r="G11">
        <f t="shared" si="1"/>
        <v>11.639517025992307</v>
      </c>
      <c r="H11">
        <v>28.549758743</v>
      </c>
      <c r="I11">
        <v>243.7625</v>
      </c>
      <c r="J11">
        <f t="shared" si="2"/>
        <v>18.75096153846154</v>
      </c>
      <c r="K11">
        <v>91.80637217578523</v>
      </c>
      <c r="L11">
        <f t="shared" si="3"/>
        <v>17.214577536538343</v>
      </c>
      <c r="M11">
        <v>1.671503210509778</v>
      </c>
      <c r="N11">
        <f t="shared" si="4"/>
        <v>0.13357209160339434</v>
      </c>
      <c r="O11">
        <f t="shared" si="5"/>
        <v>0.19455490077729365</v>
      </c>
      <c r="P11">
        <v>0.749102971941951</v>
      </c>
      <c r="Q11">
        <f t="shared" si="6"/>
        <v>0.1289549119334602</v>
      </c>
      <c r="R11">
        <f t="shared" si="7"/>
        <v>24.19407499705366</v>
      </c>
      <c r="S11">
        <f t="shared" si="8"/>
        <v>0.06098280917389931</v>
      </c>
      <c r="T11">
        <f t="shared" si="9"/>
        <v>11.441383942363043</v>
      </c>
      <c r="U11">
        <f t="shared" si="10"/>
        <v>12.752691054690619</v>
      </c>
      <c r="V11" s="49">
        <v>82.65694303669747</v>
      </c>
      <c r="W11">
        <f t="shared" si="11"/>
        <v>0.8265694303669747</v>
      </c>
      <c r="X11">
        <f t="shared" si="12"/>
        <v>8.556698846207468</v>
      </c>
      <c r="Y11">
        <f t="shared" si="13"/>
        <v>4.195992208483151</v>
      </c>
      <c r="Z11">
        <f t="shared" si="14"/>
        <v>12.752691054690619</v>
      </c>
      <c r="AA11">
        <f t="shared" si="15"/>
        <v>47.29002428799765</v>
      </c>
    </row>
    <row r="12" spans="1:27" ht="12.75">
      <c r="A12" t="s">
        <v>157</v>
      </c>
      <c r="B12">
        <v>5</v>
      </c>
      <c r="C12">
        <v>14</v>
      </c>
      <c r="D12">
        <v>21.6</v>
      </c>
      <c r="E12">
        <v>35.714285714285715</v>
      </c>
      <c r="F12">
        <f t="shared" si="0"/>
        <v>6.1667478884880005</v>
      </c>
      <c r="G12">
        <f t="shared" si="1"/>
        <v>10.196342408214287</v>
      </c>
      <c r="H12">
        <v>28.549758743</v>
      </c>
      <c r="I12">
        <v>274.0125</v>
      </c>
      <c r="J12">
        <f t="shared" si="2"/>
        <v>19.572321428571428</v>
      </c>
      <c r="K12">
        <v>91.80637217578523</v>
      </c>
      <c r="L12">
        <f t="shared" si="3"/>
        <v>17.96863825415525</v>
      </c>
      <c r="M12">
        <v>1.5148873914852778</v>
      </c>
      <c r="N12">
        <f t="shared" si="4"/>
        <v>0.13055009858069308</v>
      </c>
      <c r="O12">
        <f t="shared" si="5"/>
        <v>0.15446310553470458</v>
      </c>
      <c r="P12">
        <v>0.749102971941951</v>
      </c>
      <c r="Q12">
        <f t="shared" si="6"/>
        <v>0.13460360317937525</v>
      </c>
      <c r="R12">
        <f t="shared" si="7"/>
        <v>33.4037587455619</v>
      </c>
      <c r="S12">
        <f t="shared" si="8"/>
        <v>0.023913006954011495</v>
      </c>
      <c r="T12">
        <f t="shared" si="9"/>
        <v>5.93434571070337</v>
      </c>
      <c r="U12">
        <f t="shared" si="10"/>
        <v>27.469413034858533</v>
      </c>
      <c r="V12" s="49">
        <v>81.80545182005076</v>
      </c>
      <c r="W12">
        <f t="shared" si="11"/>
        <v>0.8180545182005077</v>
      </c>
      <c r="X12">
        <f t="shared" si="12"/>
        <v>21.391750055983266</v>
      </c>
      <c r="Y12">
        <f t="shared" si="13"/>
        <v>6.077662978875265</v>
      </c>
      <c r="Z12">
        <f t="shared" si="14"/>
        <v>27.469413034858533</v>
      </c>
      <c r="AA12">
        <f t="shared" si="15"/>
        <v>17.765502846268223</v>
      </c>
    </row>
    <row r="13" spans="1:27" ht="12.75">
      <c r="A13" t="s">
        <v>281</v>
      </c>
      <c r="B13">
        <v>11</v>
      </c>
      <c r="C13">
        <v>14</v>
      </c>
      <c r="D13">
        <v>21.7</v>
      </c>
      <c r="E13">
        <v>36.42857142857143</v>
      </c>
      <c r="F13">
        <f t="shared" si="0"/>
        <v>6.195297647231</v>
      </c>
      <c r="G13">
        <f t="shared" si="1"/>
        <v>10.400269256378571</v>
      </c>
      <c r="H13">
        <v>28.549758743</v>
      </c>
      <c r="I13">
        <v>275.86875</v>
      </c>
      <c r="J13">
        <f t="shared" si="2"/>
        <v>19.704910714285713</v>
      </c>
      <c r="K13">
        <v>91.80637217578523</v>
      </c>
      <c r="L13">
        <f t="shared" si="3"/>
        <v>18.090363667263322</v>
      </c>
      <c r="M13">
        <v>1.9338349282395362</v>
      </c>
      <c r="N13">
        <f t="shared" si="4"/>
        <v>0.13115449718523334</v>
      </c>
      <c r="O13">
        <f t="shared" si="5"/>
        <v>0.20112403951080707</v>
      </c>
      <c r="P13">
        <v>0.749102971941951</v>
      </c>
      <c r="Q13">
        <f t="shared" si="6"/>
        <v>0.13551545186657646</v>
      </c>
      <c r="R13">
        <f t="shared" si="7"/>
        <v>32.22743563161608</v>
      </c>
      <c r="S13">
        <f t="shared" si="8"/>
        <v>0.06996954232557373</v>
      </c>
      <c r="T13">
        <f t="shared" si="9"/>
        <v>16.63971813111906</v>
      </c>
      <c r="U13">
        <f t="shared" si="10"/>
        <v>15.587717500497021</v>
      </c>
      <c r="V13" s="49">
        <v>80.1172178757315</v>
      </c>
      <c r="W13">
        <f t="shared" si="11"/>
        <v>0.801172178757315</v>
      </c>
      <c r="X13">
        <f t="shared" si="12"/>
        <v>9.18000668962392</v>
      </c>
      <c r="Y13">
        <f t="shared" si="13"/>
        <v>6.407710810873101</v>
      </c>
      <c r="Z13">
        <f t="shared" si="14"/>
        <v>15.587717500497021</v>
      </c>
      <c r="AA13">
        <f t="shared" si="15"/>
        <v>51.632150697075616</v>
      </c>
    </row>
    <row r="15" spans="2:13" ht="12.75">
      <c r="B15" t="s">
        <v>305</v>
      </c>
      <c r="H15">
        <v>28.549758743</v>
      </c>
      <c r="M15">
        <v>2.1170007423913373</v>
      </c>
    </row>
    <row r="17" spans="3:11" ht="12.75">
      <c r="C17" s="14" t="s">
        <v>266</v>
      </c>
      <c r="D17" s="29" t="s">
        <v>10</v>
      </c>
      <c r="E17" s="29" t="s">
        <v>11</v>
      </c>
      <c r="F17" s="29" t="s">
        <v>12</v>
      </c>
      <c r="G17" s="29" t="s">
        <v>13</v>
      </c>
      <c r="H17" s="29" t="s">
        <v>14</v>
      </c>
      <c r="I17" s="29" t="s">
        <v>15</v>
      </c>
      <c r="J17" s="29" t="s">
        <v>16</v>
      </c>
      <c r="K17" s="29" t="s">
        <v>17</v>
      </c>
    </row>
    <row r="18" spans="3:11" ht="12.75">
      <c r="C18" t="s">
        <v>320</v>
      </c>
      <c r="D18" s="29">
        <f>AVERAGE(X2:X4)</f>
        <v>4.563436667786008</v>
      </c>
      <c r="E18" s="29">
        <f>AVERAGE(Y2:Y4)</f>
        <v>11.266381717032166</v>
      </c>
      <c r="F18" s="29">
        <f>AVERAGE(Z2:Z4)</f>
        <v>15.829818384818173</v>
      </c>
      <c r="G18">
        <f>AVERAGE(AA2:AA4)</f>
        <v>59.91854773488817</v>
      </c>
      <c r="H18" s="29">
        <v>3.1891650136</v>
      </c>
      <c r="I18" s="29">
        <v>1.4186543567</v>
      </c>
      <c r="J18" s="29">
        <v>3.1196512147</v>
      </c>
      <c r="K18" s="29">
        <v>7.7633604796</v>
      </c>
    </row>
    <row r="19" spans="3:11" ht="12.75">
      <c r="C19" s="49" t="s">
        <v>321</v>
      </c>
      <c r="D19" s="29">
        <f>AVERAGE(X5:X7)</f>
        <v>-2.72174779474467</v>
      </c>
      <c r="E19" s="29">
        <f>AVERAGE(Y5:Y7)</f>
        <v>6.771373305976437</v>
      </c>
      <c r="F19" s="29">
        <f>AVERAGE(Z5:Z7)</f>
        <v>4.049625511231766</v>
      </c>
      <c r="G19">
        <f>AVERAGE(AA5:AA7)</f>
        <v>86.80137662343617</v>
      </c>
      <c r="H19" s="29">
        <v>1.2878063367</v>
      </c>
      <c r="I19" s="29">
        <v>0.6976630881</v>
      </c>
      <c r="J19" s="29">
        <v>1.7199921235</v>
      </c>
      <c r="K19" s="29">
        <v>4.0494683283</v>
      </c>
    </row>
    <row r="20" spans="3:11" ht="12.75">
      <c r="C20" t="s">
        <v>322</v>
      </c>
      <c r="D20" s="29">
        <f>AVERAGE(X8:X10)</f>
        <v>6.454565671028949</v>
      </c>
      <c r="E20" s="29">
        <f>AVERAGE(Y8:Y10)</f>
        <v>8.887595808088042</v>
      </c>
      <c r="F20" s="29">
        <f>AVERAGE(Z8:Z10)</f>
        <v>15.342161479116994</v>
      </c>
      <c r="G20">
        <f>AVERAGE(AA8:AA10)</f>
        <v>53.909661379501955</v>
      </c>
      <c r="H20" s="29">
        <v>3.4056430555</v>
      </c>
      <c r="I20" s="29">
        <v>1.5537547597</v>
      </c>
      <c r="J20" s="29">
        <v>2.7002042281</v>
      </c>
      <c r="K20" s="29">
        <v>9.4939740749</v>
      </c>
    </row>
    <row r="21" spans="3:11" ht="12.75">
      <c r="C21" t="s">
        <v>323</v>
      </c>
      <c r="D21" s="29">
        <f>AVERAGE(X11:X13)</f>
        <v>13.042818530604885</v>
      </c>
      <c r="E21" s="29">
        <f>AVERAGE(Y11:Y13)</f>
        <v>5.560455332743839</v>
      </c>
      <c r="F21" s="29">
        <f>AVERAGE(Z11:Z13)</f>
        <v>18.603273863348722</v>
      </c>
      <c r="G21">
        <f>AVERAGE(AA11:AA13)</f>
        <v>38.89589261044716</v>
      </c>
      <c r="H21" s="29">
        <v>4.1783418313</v>
      </c>
      <c r="I21" s="29">
        <v>0.688852332</v>
      </c>
      <c r="J21" s="29">
        <v>4.5079803901</v>
      </c>
      <c r="K21" s="29">
        <v>10.639291081</v>
      </c>
    </row>
    <row r="34" ht="12.75">
      <c r="V34" s="49"/>
    </row>
  </sheetData>
  <sheetProtection/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5" sqref="G25"/>
    </sheetView>
  </sheetViews>
  <sheetFormatPr defaultColWidth="11.00390625" defaultRowHeight="12.75"/>
  <cols>
    <col min="1" max="1" width="4.625" style="0" bestFit="1" customWidth="1"/>
    <col min="2" max="2" width="5.125" style="0" bestFit="1" customWidth="1"/>
    <col min="3" max="3" width="10.00390625" style="0" bestFit="1" customWidth="1"/>
    <col min="4" max="4" width="10.375" style="0" bestFit="1" customWidth="1"/>
    <col min="5" max="5" width="9.875" style="0" bestFit="1" customWidth="1"/>
    <col min="6" max="6" width="10.125" style="0" bestFit="1" customWidth="1"/>
  </cols>
  <sheetData>
    <row r="1" spans="1:7" ht="69.75">
      <c r="A1" t="s">
        <v>266</v>
      </c>
      <c r="B1" t="s">
        <v>268</v>
      </c>
      <c r="C1" s="60" t="s">
        <v>326</v>
      </c>
      <c r="D1" s="60" t="s">
        <v>325</v>
      </c>
      <c r="E1" s="60" t="s">
        <v>324</v>
      </c>
      <c r="F1" s="60" t="s">
        <v>327</v>
      </c>
      <c r="G1" s="62" t="s">
        <v>1</v>
      </c>
    </row>
    <row r="2" spans="1:7" ht="12.75">
      <c r="A2" t="s">
        <v>157</v>
      </c>
      <c r="B2">
        <v>1</v>
      </c>
      <c r="C2">
        <v>101.2</v>
      </c>
      <c r="D2">
        <v>143.8</v>
      </c>
      <c r="E2">
        <v>0.275</v>
      </c>
      <c r="F2">
        <f>D2-(4.5*E2)</f>
        <v>142.5625</v>
      </c>
      <c r="G2">
        <f>F2+C2</f>
        <v>243.7625</v>
      </c>
    </row>
    <row r="3" spans="1:7" ht="12.75">
      <c r="A3" t="s">
        <v>277</v>
      </c>
      <c r="B3">
        <v>2</v>
      </c>
      <c r="C3">
        <v>126.95</v>
      </c>
      <c r="D3">
        <v>143.8</v>
      </c>
      <c r="E3">
        <v>0.575</v>
      </c>
      <c r="F3">
        <f aca="true" t="shared" si="0" ref="F3:F13">D3-(4.5*E3)</f>
        <v>141.2125</v>
      </c>
      <c r="G3">
        <f aca="true" t="shared" si="1" ref="G3:G13">F3+C3</f>
        <v>268.1625</v>
      </c>
    </row>
    <row r="4" spans="1:7" ht="12.75">
      <c r="A4" t="s">
        <v>278</v>
      </c>
      <c r="B4">
        <v>3</v>
      </c>
      <c r="C4">
        <v>126.1</v>
      </c>
      <c r="D4">
        <v>143.8</v>
      </c>
      <c r="E4">
        <v>0.125</v>
      </c>
      <c r="F4">
        <f t="shared" si="0"/>
        <v>143.2375</v>
      </c>
      <c r="G4">
        <f t="shared" si="1"/>
        <v>269.3375</v>
      </c>
    </row>
    <row r="5" spans="1:7" ht="12.75">
      <c r="A5" t="s">
        <v>277</v>
      </c>
      <c r="B5">
        <v>4</v>
      </c>
      <c r="C5">
        <v>131.8</v>
      </c>
      <c r="D5">
        <v>143.8</v>
      </c>
      <c r="E5">
        <v>0.15</v>
      </c>
      <c r="F5">
        <f t="shared" si="0"/>
        <v>143.125</v>
      </c>
      <c r="G5">
        <f t="shared" si="1"/>
        <v>274.925</v>
      </c>
    </row>
    <row r="6" spans="1:7" ht="12.75">
      <c r="A6" t="s">
        <v>157</v>
      </c>
      <c r="B6">
        <v>5</v>
      </c>
      <c r="C6">
        <v>131.45</v>
      </c>
      <c r="D6">
        <v>143.8</v>
      </c>
      <c r="E6">
        <v>0.275</v>
      </c>
      <c r="F6">
        <f t="shared" si="0"/>
        <v>142.5625</v>
      </c>
      <c r="G6">
        <f t="shared" si="1"/>
        <v>274.0125</v>
      </c>
    </row>
    <row r="7" spans="1:7" ht="12.75">
      <c r="A7" t="s">
        <v>279</v>
      </c>
      <c r="B7">
        <v>6</v>
      </c>
      <c r="C7">
        <v>134.8</v>
      </c>
      <c r="D7">
        <v>143.8</v>
      </c>
      <c r="E7">
        <v>0.225</v>
      </c>
      <c r="F7">
        <f t="shared" si="0"/>
        <v>142.78750000000002</v>
      </c>
      <c r="G7">
        <f t="shared" si="1"/>
        <v>277.58750000000003</v>
      </c>
    </row>
    <row r="8" spans="1:7" ht="12.75">
      <c r="A8" t="s">
        <v>280</v>
      </c>
      <c r="B8">
        <v>7</v>
      </c>
      <c r="C8">
        <v>128.5</v>
      </c>
      <c r="D8">
        <v>143.8</v>
      </c>
      <c r="E8">
        <v>0.1875</v>
      </c>
      <c r="F8">
        <f t="shared" si="0"/>
        <v>142.95625</v>
      </c>
      <c r="G8">
        <f t="shared" si="1"/>
        <v>271.45625</v>
      </c>
    </row>
    <row r="9" spans="1:7" ht="12.75">
      <c r="A9" t="s">
        <v>86</v>
      </c>
      <c r="B9">
        <v>8</v>
      </c>
      <c r="C9">
        <v>132.1</v>
      </c>
      <c r="D9">
        <v>143.8</v>
      </c>
      <c r="E9">
        <v>0.125</v>
      </c>
      <c r="F9">
        <f t="shared" si="0"/>
        <v>143.2375</v>
      </c>
      <c r="G9">
        <f t="shared" si="1"/>
        <v>275.3375</v>
      </c>
    </row>
    <row r="10" spans="1:7" ht="12.75">
      <c r="A10" t="s">
        <v>279</v>
      </c>
      <c r="B10">
        <v>9</v>
      </c>
      <c r="C10">
        <v>132.25</v>
      </c>
      <c r="D10">
        <v>143.8</v>
      </c>
      <c r="E10">
        <v>0.0875</v>
      </c>
      <c r="F10">
        <f t="shared" si="0"/>
        <v>143.40625</v>
      </c>
      <c r="G10">
        <f t="shared" si="1"/>
        <v>275.65625</v>
      </c>
    </row>
    <row r="11" spans="1:7" ht="12.75">
      <c r="A11" t="s">
        <v>86</v>
      </c>
      <c r="B11">
        <v>10</v>
      </c>
      <c r="C11">
        <v>135.25</v>
      </c>
      <c r="D11">
        <v>143.8</v>
      </c>
      <c r="E11">
        <v>0.0875</v>
      </c>
      <c r="F11">
        <f t="shared" si="0"/>
        <v>143.40625</v>
      </c>
      <c r="G11">
        <f t="shared" si="1"/>
        <v>278.65625</v>
      </c>
    </row>
    <row r="12" spans="1:7" ht="12.75">
      <c r="A12" t="s">
        <v>281</v>
      </c>
      <c r="B12">
        <v>11</v>
      </c>
      <c r="C12">
        <v>132.35</v>
      </c>
      <c r="D12">
        <v>143.8</v>
      </c>
      <c r="E12">
        <v>0.0625</v>
      </c>
      <c r="F12">
        <f t="shared" si="0"/>
        <v>143.51875</v>
      </c>
      <c r="G12">
        <f t="shared" si="1"/>
        <v>275.86875</v>
      </c>
    </row>
    <row r="13" spans="1:7" ht="12.75">
      <c r="A13" t="s">
        <v>334</v>
      </c>
      <c r="B13">
        <v>12</v>
      </c>
      <c r="C13">
        <v>129.05</v>
      </c>
      <c r="D13">
        <v>143.8</v>
      </c>
      <c r="E13">
        <v>0.0875</v>
      </c>
      <c r="F13">
        <f t="shared" si="0"/>
        <v>143.40625</v>
      </c>
      <c r="G13">
        <f t="shared" si="1"/>
        <v>272.45625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Madilyn Gamble</dc:creator>
  <cp:keywords/>
  <dc:description/>
  <cp:lastModifiedBy>Microsoft Office User</cp:lastModifiedBy>
  <dcterms:created xsi:type="dcterms:W3CDTF">2013-02-04T21:29:05Z</dcterms:created>
  <dcterms:modified xsi:type="dcterms:W3CDTF">2021-03-15T21:50:32Z</dcterms:modified>
  <cp:category/>
  <cp:version/>
  <cp:contentType/>
  <cp:contentStatus/>
</cp:coreProperties>
</file>